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15" windowWidth="18540" windowHeight="6060" firstSheet="3" activeTab="3"/>
  </bookViews>
  <sheets>
    <sheet name="points et TOP" sheetId="27" r:id="rId1"/>
    <sheet name="Sommaire (2)" sheetId="24" r:id="rId2"/>
    <sheet name="Rapport d_activités (2)" sheetId="25" r:id="rId3"/>
    <sheet name="résultats (2)" sheetId="30" r:id="rId4"/>
    <sheet name="bilan championnat" sheetId="26" r:id="rId5"/>
    <sheet name="Autres résultats" sheetId="4" r:id="rId6"/>
    <sheet name="orientations et comptes" sheetId="29" r:id="rId7"/>
    <sheet name="Comptes" sheetId="9" r:id="rId8"/>
    <sheet name="compte rendu" sheetId="11" r:id="rId9"/>
    <sheet name="résumés"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adhérent" localSheetId="4">#REF!</definedName>
    <definedName name="adhérent" localSheetId="0">#REF!</definedName>
    <definedName name="adhérent" localSheetId="3">#REF!</definedName>
    <definedName name="adhérent">[1]liste!#REF!</definedName>
    <definedName name="adhérent_11" localSheetId="4">[2]liste!$CA$2:$CA$70</definedName>
    <definedName name="adhérent_11" localSheetId="0">[2]liste!$CA$2:$CA$70</definedName>
    <definedName name="adhérent_11" localSheetId="3">[2]liste!$CA$2:$CA$70</definedName>
    <definedName name="adhérent_11">[3]liste!$CA$2:$CA$70</definedName>
    <definedName name="adhérent_16" localSheetId="4">[2]liste!$CA$2:$CA$70</definedName>
    <definedName name="adhérent_16" localSheetId="0">[2]liste!$CA$2:$CA$70</definedName>
    <definedName name="adhérent_16" localSheetId="3">[2]liste!$CA$2:$CA$70</definedName>
    <definedName name="adhérent_16">[3]liste!$CA$2:$CA$70</definedName>
    <definedName name="adhérent_17" localSheetId="4">[2]liste!$CA$2:$CA$70</definedName>
    <definedName name="adhérent_17" localSheetId="0">[2]liste!$CA$2:$CA$70</definedName>
    <definedName name="adhérent_17" localSheetId="3">[2]liste!$CA$2:$CA$70</definedName>
    <definedName name="adhérent_17">[3]liste!$CA$2:$CA$70</definedName>
    <definedName name="compét" localSheetId="4">[4]Feuil72!$A$2:$A$29</definedName>
    <definedName name="compét" localSheetId="0">[4]Feuil72!$A$2:$A$29</definedName>
    <definedName name="compét" localSheetId="2">[5]Licenciés!$A$2:$A$29</definedName>
    <definedName name="compét" localSheetId="3">[4]Feuil72!$A$2:$A$29</definedName>
    <definedName name="compét" localSheetId="1">[5]Licenciés!$A$2:$A$29</definedName>
    <definedName name="compét">#REF!</definedName>
    <definedName name="compét_10" localSheetId="4">[6]Feuil72!$A$2:$A$29</definedName>
    <definedName name="compét_10" localSheetId="0">[6]Feuil72!$A$2:$A$29</definedName>
    <definedName name="compét_10" localSheetId="3">[6]Feuil72!$A$2:$A$29</definedName>
    <definedName name="compét_10">[7]Feuil72!$A$2:$A$29</definedName>
    <definedName name="compét_7" localSheetId="4">[6]Feuil72!$A$2:$A$29</definedName>
    <definedName name="compét_7" localSheetId="0">[6]Feuil72!$A$2:$A$29</definedName>
    <definedName name="compét_7" localSheetId="3">[6]Feuil72!$A$2:$A$29</definedName>
    <definedName name="compét_7">[7]Feuil72!$A$2:$A$29</definedName>
    <definedName name="compétition" localSheetId="2">[1]Tradi!$B$3:$B$24</definedName>
    <definedName name="compétition" localSheetId="1">[1]Tradi!$B$3:$B$24</definedName>
    <definedName name="compétition">[8]Tradi!$B$3:$B$24</definedName>
    <definedName name="compétition_11" localSheetId="4">[2]Tradi!$B$3:$B$24</definedName>
    <definedName name="compétition_11" localSheetId="0">[2]Tradi!$B$3:$B$24</definedName>
    <definedName name="compétition_11" localSheetId="3">[2]Tradi!$B$3:$B$24</definedName>
    <definedName name="compétition_11">[3]Tradi!$B$3:$B$24</definedName>
    <definedName name="compétition_16" localSheetId="4">[2]Tradi!$B$3:$B$24</definedName>
    <definedName name="compétition_16" localSheetId="0">[2]Tradi!$B$3:$B$24</definedName>
    <definedName name="compétition_16" localSheetId="3">[2]Tradi!$B$3:$B$24</definedName>
    <definedName name="compétition_16">[3]Tradi!$B$3:$B$24</definedName>
    <definedName name="compétition_17" localSheetId="4">[2]Tradi!$B$3:$B$24</definedName>
    <definedName name="compétition_17" localSheetId="0">[2]Tradi!$B$3:$B$24</definedName>
    <definedName name="compétition_17" localSheetId="3">[2]Tradi!$B$3:$B$24</definedName>
    <definedName name="compétition_17">[3]Tradi!$B$3:$B$24</definedName>
    <definedName name="équipe" localSheetId="2">[1]liste!$BY$3:$BY$10</definedName>
    <definedName name="équipe" localSheetId="1">[1]liste!$BY$3:$BY$10</definedName>
    <definedName name="équipe">[8]liste!$BY$3:$BY$10</definedName>
    <definedName name="équipe_11" localSheetId="4">[2]liste!$BY$3:$BY$10</definedName>
    <definedName name="équipe_11" localSheetId="0">[2]liste!$BY$3:$BY$10</definedName>
    <definedName name="équipe_11" localSheetId="3">[2]liste!$BY$3:$BY$10</definedName>
    <definedName name="équipe_11">[3]liste!$BY$3:$BY$10</definedName>
    <definedName name="équipe_16" localSheetId="4">[2]liste!$BY$3:$BY$10</definedName>
    <definedName name="équipe_16" localSheetId="0">[2]liste!$BY$3:$BY$10</definedName>
    <definedName name="équipe_16" localSheetId="3">[2]liste!$BY$3:$BY$10</definedName>
    <definedName name="équipe_16">[3]liste!$BY$3:$BY$10</definedName>
    <definedName name="équipe_17" localSheetId="4">[2]liste!$BY$3:$BY$10</definedName>
    <definedName name="équipe_17" localSheetId="0">[2]liste!$BY$3:$BY$10</definedName>
    <definedName name="équipe_17" localSheetId="3">[2]liste!$BY$3:$BY$10</definedName>
    <definedName name="équipe_17">[3]liste!$BY$3:$BY$10</definedName>
    <definedName name="fonction" localSheetId="2">[1]liste!$BU$3:$BU$10</definedName>
    <definedName name="fonction" localSheetId="1">[1]liste!$BU$3:$BU$10</definedName>
    <definedName name="fonction">[8]liste!$BU$3:$BU$10</definedName>
    <definedName name="fonction_11" localSheetId="4">[2]liste!$BU$3:$BU$10</definedName>
    <definedName name="fonction_11" localSheetId="0">[2]liste!$BU$3:$BU$10</definedName>
    <definedName name="fonction_11" localSheetId="3">[2]liste!$BU$3:$BU$10</definedName>
    <definedName name="fonction_11">[3]liste!$BU$3:$BU$10</definedName>
    <definedName name="fonction_16" localSheetId="4">[2]liste!$BU$3:$BU$10</definedName>
    <definedName name="fonction_16" localSheetId="0">[2]liste!$BU$3:$BU$10</definedName>
    <definedName name="fonction_16" localSheetId="3">[2]liste!$BU$3:$BU$10</definedName>
    <definedName name="fonction_16">[3]liste!$BU$3:$BU$10</definedName>
    <definedName name="fonction_17" localSheetId="4">[2]liste!$BU$3:$BU$10</definedName>
    <definedName name="fonction_17" localSheetId="0">[2]liste!$BU$3:$BU$10</definedName>
    <definedName name="fonction_17" localSheetId="3">[2]liste!$BU$3:$BU$10</definedName>
    <definedName name="fonction_17">[3]liste!$BU$3:$BU$10</definedName>
    <definedName name="mttgest_1_2" localSheetId="2">'Rapport d_activités (2)'!#REF!</definedName>
    <definedName name="mttgest_1_2" localSheetId="1">'Rapport d_activités (2)'!#REF!</definedName>
    <definedName name="mttgest_1_2">#REF!</definedName>
    <definedName name="mttgest_2" localSheetId="4">'[9]Rapport d_activités'!#REF!</definedName>
    <definedName name="mttgest_2" localSheetId="0">'[9]Rapport d_activités'!#REF!</definedName>
    <definedName name="mttgest_2" localSheetId="2">'Rapport d_activités (2)'!#REF!</definedName>
    <definedName name="mttgest_2" localSheetId="3">'[9]Rapport d_activités'!#REF!</definedName>
    <definedName name="mttgest_2" localSheetId="1">'Rapport d_activités (2)'!#REF!</definedName>
    <definedName name="mttgest_2">#REF!</definedName>
    <definedName name="mttgest_Stat_adhérents_2" localSheetId="2">'Rapport d_activités (2)'!#REF!</definedName>
    <definedName name="mttgest_Stat_adhérents_2" localSheetId="1">'Rapport d_activités (2)'!#REF!</definedName>
    <definedName name="mttgest_Stat_adhérents_2">#REF!</definedName>
    <definedName name="niveau" localSheetId="4">[10]équipes!$A$37:$A$47</definedName>
    <definedName name="niveau" localSheetId="0">[10]équipes!$A$37:$A$47</definedName>
    <definedName name="niveau" localSheetId="2">[1]équipes!$A$33:$A$43</definedName>
    <definedName name="niveau" localSheetId="3">[10]équipes!$A$37:$A$47</definedName>
    <definedName name="niveau" localSheetId="1">[1]équipes!$A$33:$A$43</definedName>
    <definedName name="niveau">[8]équipes!$A$33:$A$43</definedName>
    <definedName name="Type" localSheetId="2">[1]liste!$BW$3:$BW$4</definedName>
    <definedName name="Type" localSheetId="1">[1]liste!$BW$3:$BW$4</definedName>
    <definedName name="Type">[8]liste!$BW$3:$BW$4</definedName>
    <definedName name="Type_11" localSheetId="4">[2]liste!$BW$3:$BW$4</definedName>
    <definedName name="Type_11" localSheetId="0">[2]liste!$BW$3:$BW$4</definedName>
    <definedName name="Type_11" localSheetId="3">[2]liste!$BW$3:$BW$4</definedName>
    <definedName name="Type_11">[3]liste!$BW$3:$BW$4</definedName>
    <definedName name="Type_16" localSheetId="4">[2]liste!$BW$3:$BW$4</definedName>
    <definedName name="Type_16" localSheetId="0">[2]liste!$BW$3:$BW$4</definedName>
    <definedName name="Type_16" localSheetId="3">[2]liste!$BW$3:$BW$4</definedName>
    <definedName name="Type_16">[3]liste!$BW$3:$BW$4</definedName>
    <definedName name="Type_17" localSheetId="4">[2]liste!$BW$3:$BW$4</definedName>
    <definedName name="Type_17" localSheetId="0">[2]liste!$BW$3:$BW$4</definedName>
    <definedName name="Type_17" localSheetId="3">[2]liste!$BW$3:$BW$4</definedName>
    <definedName name="Type_17">[3]liste!$BW$3:$BW$4</definedName>
    <definedName name="_xlnm.Print_Area" localSheetId="5">'Autres résultats'!$A$1:$U$38</definedName>
    <definedName name="_xlnm.Print_Area" localSheetId="4">'bilan championnat'!$A$1:$M$181,'bilan championnat'!$A$183:$M$225</definedName>
    <definedName name="_xlnm.Print_Area" localSheetId="8">'compte rendu'!$A$1:$J$167</definedName>
    <definedName name="_xlnm.Print_Area" localSheetId="7">Comptes!$A$1:$F$64</definedName>
    <definedName name="_xlnm.Print_Area" localSheetId="6">'orientations et comptes'!$A$1:$F$71</definedName>
    <definedName name="_xlnm.Print_Area" localSheetId="0">'points et TOP'!$A$1:$AI$57</definedName>
    <definedName name="_xlnm.Print_Area" localSheetId="2">'Rapport d_activités (2)'!$A$1:$M$38</definedName>
    <definedName name="_xlnm.Print_Area" localSheetId="3">'résultats (2)'!$A$1:$BU$45</definedName>
    <definedName name="_xlnm.Print_Area" localSheetId="9">résumés!$A$1:$R$91</definedName>
    <definedName name="_xlnm.Print_Area" localSheetId="1">'Sommaire (2)'!$A$1:$K$66</definedName>
  </definedNames>
  <calcPr calcId="145621" refMode="R1C1"/>
</workbook>
</file>

<file path=xl/calcChain.xml><?xml version="1.0" encoding="utf-8"?>
<calcChain xmlns="http://schemas.openxmlformats.org/spreadsheetml/2006/main">
  <c r="C1" i="30" l="1"/>
  <c r="D1" i="30"/>
  <c r="E1" i="30"/>
  <c r="F1" i="30"/>
  <c r="G1" i="30"/>
  <c r="H1" i="30"/>
  <c r="I1" i="30"/>
  <c r="J1" i="30"/>
  <c r="K1" i="30"/>
  <c r="L1" i="30"/>
  <c r="M1" i="30"/>
  <c r="N1" i="30"/>
  <c r="O1" i="30"/>
  <c r="AC1" i="30" s="1"/>
  <c r="P1" i="30"/>
  <c r="AD1" i="30" s="1"/>
  <c r="Q1" i="30"/>
  <c r="R1" i="30"/>
  <c r="S1" i="30"/>
  <c r="T1" i="30"/>
  <c r="U1" i="30"/>
  <c r="V1" i="30"/>
  <c r="W1" i="30"/>
  <c r="X1" i="30"/>
  <c r="Y1" i="30"/>
  <c r="Z1" i="30"/>
  <c r="AA1" i="30"/>
  <c r="AB1" i="30"/>
  <c r="BA1" i="30"/>
  <c r="DM1" i="30" s="1"/>
  <c r="BN1" i="30"/>
  <c r="DO1" i="30"/>
  <c r="DP1" i="30" s="1"/>
  <c r="A3" i="30"/>
  <c r="AE3" i="30"/>
  <c r="AF3" i="30"/>
  <c r="AI3" i="30"/>
  <c r="AL3" i="30"/>
  <c r="AO2" i="30"/>
  <c r="AP2" i="30"/>
  <c r="AQ2" i="30"/>
  <c r="AR2" i="30"/>
  <c r="AS2" i="30"/>
  <c r="AT2" i="30"/>
  <c r="AU2" i="30"/>
  <c r="AV2" i="30"/>
  <c r="AY2" i="30"/>
  <c r="AZ2" i="30"/>
  <c r="BB2" i="30"/>
  <c r="BC2" i="30"/>
  <c r="BD2" i="30"/>
  <c r="BE2" i="30"/>
  <c r="BF2" i="30"/>
  <c r="BI2" i="30"/>
  <c r="BJ2" i="30"/>
  <c r="BL2" i="30"/>
  <c r="BM2" i="30"/>
  <c r="BN2" i="30"/>
  <c r="BO2" i="30"/>
  <c r="BP2" i="30"/>
  <c r="BS2" i="30"/>
  <c r="BT2" i="30"/>
  <c r="BY2" i="30"/>
  <c r="CA2" i="30"/>
  <c r="CB2" i="30" s="1"/>
  <c r="CC2" i="30"/>
  <c r="CD2" i="30" s="1"/>
  <c r="CE2" i="30"/>
  <c r="CF2" i="30" s="1"/>
  <c r="CG2" i="30"/>
  <c r="CH2" i="30" s="1"/>
  <c r="CI2" i="30"/>
  <c r="CJ2" i="30" s="1"/>
  <c r="CK2" i="30"/>
  <c r="CL2" i="30" s="1"/>
  <c r="CM2" i="30"/>
  <c r="CN2" i="30" s="1"/>
  <c r="CZ2" i="30"/>
  <c r="DD2" i="30"/>
  <c r="DF2" i="30"/>
  <c r="CT2" i="30" s="1"/>
  <c r="DK2" i="30"/>
  <c r="DR2" i="30"/>
  <c r="A2" i="30"/>
  <c r="AX2" i="30" s="1"/>
  <c r="DI2" i="30" s="1"/>
  <c r="AE2" i="30"/>
  <c r="CP2" i="30" s="1"/>
  <c r="AF2" i="30"/>
  <c r="AI2" i="30"/>
  <c r="AL2" i="30"/>
  <c r="AO3" i="30"/>
  <c r="AP3" i="30"/>
  <c r="AQ3" i="30"/>
  <c r="AR3" i="30"/>
  <c r="AS3" i="30"/>
  <c r="AT3" i="30"/>
  <c r="AU3" i="30"/>
  <c r="AV3" i="30"/>
  <c r="AX3" i="30"/>
  <c r="AY3" i="30"/>
  <c r="AZ3" i="30"/>
  <c r="BV3" i="30"/>
  <c r="BY3" i="30"/>
  <c r="CA3" i="30"/>
  <c r="CB3" i="30" s="1"/>
  <c r="CC3" i="30"/>
  <c r="CD3" i="30" s="1"/>
  <c r="CE3" i="30"/>
  <c r="CF3" i="30" s="1"/>
  <c r="CG3" i="30"/>
  <c r="CH3" i="30" s="1"/>
  <c r="CI3" i="30"/>
  <c r="CJ3" i="30" s="1"/>
  <c r="CK3" i="30"/>
  <c r="CL3" i="30" s="1"/>
  <c r="CM3" i="30"/>
  <c r="CN3" i="30" s="1"/>
  <c r="CP3" i="30"/>
  <c r="CQ3" i="30"/>
  <c r="CR3" i="30"/>
  <c r="CS3" i="30"/>
  <c r="CT3" i="30"/>
  <c r="CU3" i="30"/>
  <c r="CV3" i="30"/>
  <c r="CW3" i="30"/>
  <c r="CX3" i="30"/>
  <c r="CY3" i="30"/>
  <c r="CZ3" i="30"/>
  <c r="DA3" i="30"/>
  <c r="DB3" i="30"/>
  <c r="DC3" i="30"/>
  <c r="DD3" i="30"/>
  <c r="DF3" i="30"/>
  <c r="DI3" i="30"/>
  <c r="DK3" i="30"/>
  <c r="DR3" i="30"/>
  <c r="A5" i="30"/>
  <c r="AE5" i="30"/>
  <c r="AF5" i="30"/>
  <c r="AI5" i="30"/>
  <c r="AL5" i="30"/>
  <c r="AO4" i="30"/>
  <c r="AP4" i="30"/>
  <c r="AQ4" i="30"/>
  <c r="AR4" i="30"/>
  <c r="AS4" i="30"/>
  <c r="AT4" i="30"/>
  <c r="AU4" i="30"/>
  <c r="AV4" i="30"/>
  <c r="AY4" i="30"/>
  <c r="AZ4" i="30"/>
  <c r="BV4" i="30"/>
  <c r="BY4" i="30"/>
  <c r="CA4" i="30"/>
  <c r="CB4" i="30" s="1"/>
  <c r="CC4" i="30"/>
  <c r="CD4" i="30" s="1"/>
  <c r="CE4" i="30"/>
  <c r="CF4" i="30" s="1"/>
  <c r="CG4" i="30"/>
  <c r="CH4" i="30" s="1"/>
  <c r="CI4" i="30"/>
  <c r="CJ4" i="30" s="1"/>
  <c r="CK4" i="30"/>
  <c r="CL4" i="30" s="1"/>
  <c r="CM4" i="30"/>
  <c r="CN4" i="30" s="1"/>
  <c r="CQ4" i="30"/>
  <c r="CR4" i="30"/>
  <c r="CS4" i="30"/>
  <c r="CT4" i="30"/>
  <c r="CU4" i="30"/>
  <c r="CV4" i="30"/>
  <c r="CW4" i="30"/>
  <c r="CX4" i="30"/>
  <c r="CY4" i="30"/>
  <c r="CZ4" i="30"/>
  <c r="DA4" i="30"/>
  <c r="DB4" i="30"/>
  <c r="DC4" i="30"/>
  <c r="DD4" i="30"/>
  <c r="DF4" i="30"/>
  <c r="DR4" i="30"/>
  <c r="A4" i="30"/>
  <c r="DK4" i="30" s="1"/>
  <c r="AE4" i="30"/>
  <c r="CP4" i="30" s="1"/>
  <c r="AF4" i="30"/>
  <c r="AI4" i="30"/>
  <c r="AL4" i="30"/>
  <c r="AO5" i="30"/>
  <c r="AP5" i="30"/>
  <c r="AQ5" i="30"/>
  <c r="AR5" i="30"/>
  <c r="AS5" i="30"/>
  <c r="AT5" i="30"/>
  <c r="AU5" i="30"/>
  <c r="AV5" i="30"/>
  <c r="AX5" i="30"/>
  <c r="DI5" i="30" s="1"/>
  <c r="AY5" i="30"/>
  <c r="AZ5" i="30"/>
  <c r="BY5" i="30"/>
  <c r="BZ5" i="30" s="1"/>
  <c r="CA5" i="30"/>
  <c r="CB5" i="30" s="1"/>
  <c r="CC5" i="30"/>
  <c r="CD5" i="30" s="1"/>
  <c r="CE5" i="30"/>
  <c r="CF5" i="30" s="1"/>
  <c r="CG5" i="30"/>
  <c r="CH5" i="30" s="1"/>
  <c r="CI5" i="30"/>
  <c r="CJ5" i="30" s="1"/>
  <c r="CK5" i="30"/>
  <c r="CL5" i="30" s="1"/>
  <c r="CM5" i="30"/>
  <c r="CN5" i="30" s="1"/>
  <c r="CP5" i="30"/>
  <c r="CQ5" i="30"/>
  <c r="CR5" i="30"/>
  <c r="CS5" i="30"/>
  <c r="CT5" i="30"/>
  <c r="CU5" i="30"/>
  <c r="CV5" i="30"/>
  <c r="CW5" i="30"/>
  <c r="CX5" i="30"/>
  <c r="CY5" i="30"/>
  <c r="CZ5" i="30"/>
  <c r="DA5" i="30"/>
  <c r="DB5" i="30"/>
  <c r="DC5" i="30"/>
  <c r="DD5" i="30"/>
  <c r="DF5" i="30"/>
  <c r="DK5" i="30"/>
  <c r="DR5" i="30"/>
  <c r="A6" i="30"/>
  <c r="AE6" i="30"/>
  <c r="CP6" i="30" s="1"/>
  <c r="AF6" i="30"/>
  <c r="AI6" i="30"/>
  <c r="AL6" i="30"/>
  <c r="AO6" i="30"/>
  <c r="AP6" i="30"/>
  <c r="AQ6" i="30"/>
  <c r="AR6" i="30"/>
  <c r="AS6" i="30"/>
  <c r="AT6" i="30"/>
  <c r="AU6" i="30"/>
  <c r="AV6" i="30"/>
  <c r="AX6" i="30"/>
  <c r="DI6" i="30" s="1"/>
  <c r="AY6" i="30"/>
  <c r="AZ6" i="30"/>
  <c r="BY6" i="30"/>
  <c r="CA6" i="30"/>
  <c r="CB6" i="30" s="1"/>
  <c r="CC6" i="30"/>
  <c r="CD6" i="30" s="1"/>
  <c r="CE6" i="30"/>
  <c r="CG6" i="30"/>
  <c r="CH6" i="30" s="1"/>
  <c r="CI6" i="30"/>
  <c r="CJ6" i="30" s="1"/>
  <c r="CK6" i="30"/>
  <c r="CL6" i="30" s="1"/>
  <c r="CM6" i="30"/>
  <c r="CN6" i="30" s="1"/>
  <c r="CQ6" i="30"/>
  <c r="CR6" i="30"/>
  <c r="CS6" i="30"/>
  <c r="CT6" i="30"/>
  <c r="CU6" i="30"/>
  <c r="CV6" i="30"/>
  <c r="CW6" i="30"/>
  <c r="CX6" i="30"/>
  <c r="CY6" i="30"/>
  <c r="CZ6" i="30"/>
  <c r="DA6" i="30"/>
  <c r="DB6" i="30"/>
  <c r="DC6" i="30"/>
  <c r="DD6" i="30"/>
  <c r="DF6" i="30"/>
  <c r="DK6" i="30"/>
  <c r="DR6" i="30"/>
  <c r="A8" i="30"/>
  <c r="AE8" i="30"/>
  <c r="AF8" i="30"/>
  <c r="AI8" i="30"/>
  <c r="AL8" i="30"/>
  <c r="AO7" i="30"/>
  <c r="AP7" i="30"/>
  <c r="AQ7" i="30"/>
  <c r="AR7" i="30"/>
  <c r="AS7" i="30"/>
  <c r="AT7" i="30"/>
  <c r="AU7" i="30"/>
  <c r="AV7" i="30"/>
  <c r="AY7" i="30"/>
  <c r="AZ7" i="30"/>
  <c r="BY7" i="30"/>
  <c r="CA7" i="30"/>
  <c r="CC7" i="30"/>
  <c r="CD7" i="30" s="1"/>
  <c r="CE7" i="30"/>
  <c r="CF7" i="30" s="1"/>
  <c r="CG7" i="30"/>
  <c r="CH7" i="30" s="1"/>
  <c r="CI7" i="30"/>
  <c r="CJ7" i="30" s="1"/>
  <c r="CK7" i="30"/>
  <c r="CL7" i="30" s="1"/>
  <c r="CM7" i="30"/>
  <c r="CN7" i="30" s="1"/>
  <c r="CQ7" i="30"/>
  <c r="CR7" i="30"/>
  <c r="CS7" i="30"/>
  <c r="CT7" i="30"/>
  <c r="CU7" i="30"/>
  <c r="CV7" i="30"/>
  <c r="CW7" i="30"/>
  <c r="CX7" i="30"/>
  <c r="CY7" i="30"/>
  <c r="CZ7" i="30"/>
  <c r="DA7" i="30"/>
  <c r="DB7" i="30"/>
  <c r="DC7" i="30"/>
  <c r="DD7" i="30"/>
  <c r="DF7" i="30"/>
  <c r="DK7" i="30"/>
  <c r="A7" i="30"/>
  <c r="AX8" i="30" s="1"/>
  <c r="AE7" i="30"/>
  <c r="AF7" i="30"/>
  <c r="AI7" i="30"/>
  <c r="AL7" i="30"/>
  <c r="AO8" i="30"/>
  <c r="AP8" i="30"/>
  <c r="AQ8" i="30"/>
  <c r="AR8" i="30"/>
  <c r="AS8" i="30"/>
  <c r="AT8" i="30"/>
  <c r="AU8" i="30"/>
  <c r="AV8" i="30"/>
  <c r="AY8" i="30"/>
  <c r="AZ8" i="30"/>
  <c r="BY8" i="30"/>
  <c r="BZ8" i="30" s="1"/>
  <c r="CA8" i="30"/>
  <c r="CC8" i="30"/>
  <c r="CD8" i="30" s="1"/>
  <c r="CE8" i="30"/>
  <c r="CF8" i="30" s="1"/>
  <c r="CG8" i="30"/>
  <c r="CH8" i="30" s="1"/>
  <c r="CI8" i="30"/>
  <c r="CJ8" i="30" s="1"/>
  <c r="CK8" i="30"/>
  <c r="CL8" i="30" s="1"/>
  <c r="CM8" i="30"/>
  <c r="CN8" i="30" s="1"/>
  <c r="CP8" i="30"/>
  <c r="CQ8" i="30"/>
  <c r="CR8" i="30"/>
  <c r="CS8" i="30"/>
  <c r="CT8" i="30"/>
  <c r="CU8" i="30"/>
  <c r="CV8" i="30"/>
  <c r="CW8" i="30"/>
  <c r="CX8" i="30"/>
  <c r="CY8" i="30"/>
  <c r="CZ8" i="30"/>
  <c r="DA8" i="30"/>
  <c r="DB8" i="30"/>
  <c r="DC8" i="30"/>
  <c r="DD8" i="30"/>
  <c r="DF8" i="30"/>
  <c r="DI8" i="30"/>
  <c r="DR8" i="30"/>
  <c r="A9" i="30"/>
  <c r="AE9" i="30"/>
  <c r="AF9" i="30"/>
  <c r="AI9" i="30"/>
  <c r="AL9" i="30"/>
  <c r="AO9" i="30"/>
  <c r="AP9" i="30"/>
  <c r="AQ9" i="30"/>
  <c r="AR9" i="30"/>
  <c r="AS9" i="30"/>
  <c r="AT9" i="30"/>
  <c r="AU9" i="30"/>
  <c r="AV9" i="30"/>
  <c r="AX9" i="30"/>
  <c r="AY9" i="30"/>
  <c r="AZ9" i="30"/>
  <c r="BY9" i="30"/>
  <c r="BZ9" i="30" s="1"/>
  <c r="CA9" i="30"/>
  <c r="CB9" i="30" s="1"/>
  <c r="CC9" i="30"/>
  <c r="CD9" i="30" s="1"/>
  <c r="CE9" i="30"/>
  <c r="CF9" i="30" s="1"/>
  <c r="CG9" i="30"/>
  <c r="CH9" i="30" s="1"/>
  <c r="CI9" i="30"/>
  <c r="CJ9" i="30" s="1"/>
  <c r="CK9" i="30"/>
  <c r="CL9" i="30" s="1"/>
  <c r="CM9" i="30"/>
  <c r="CN9" i="30" s="1"/>
  <c r="CP9" i="30"/>
  <c r="CQ9" i="30"/>
  <c r="CR9" i="30"/>
  <c r="CS9" i="30"/>
  <c r="CT9" i="30"/>
  <c r="CU9" i="30"/>
  <c r="CV9" i="30"/>
  <c r="CW9" i="30"/>
  <c r="CX9" i="30"/>
  <c r="CY9" i="30"/>
  <c r="CZ9" i="30"/>
  <c r="DA9" i="30"/>
  <c r="DB9" i="30"/>
  <c r="DC9" i="30"/>
  <c r="DD9" i="30"/>
  <c r="DF9" i="30"/>
  <c r="DI9" i="30"/>
  <c r="DK9" i="30"/>
  <c r="DR9" i="30"/>
  <c r="A12" i="30"/>
  <c r="AE12" i="30"/>
  <c r="AF12" i="30"/>
  <c r="AI12" i="30"/>
  <c r="AL12" i="30"/>
  <c r="AO10" i="30"/>
  <c r="AP10" i="30"/>
  <c r="AQ10" i="30"/>
  <c r="AR10" i="30"/>
  <c r="AS10" i="30"/>
  <c r="AT10" i="30"/>
  <c r="AU10" i="30"/>
  <c r="AV10" i="30"/>
  <c r="AY10" i="30"/>
  <c r="AZ10" i="30"/>
  <c r="BY10" i="30"/>
  <c r="BZ10" i="30" s="1"/>
  <c r="CA10" i="30"/>
  <c r="CB10" i="30" s="1"/>
  <c r="CC10" i="30"/>
  <c r="CE10" i="30"/>
  <c r="CF10" i="30" s="1"/>
  <c r="CG10" i="30"/>
  <c r="CH10" i="30" s="1"/>
  <c r="CI10" i="30"/>
  <c r="CJ10" i="30" s="1"/>
  <c r="CK10" i="30"/>
  <c r="CL10" i="30" s="1"/>
  <c r="CM10" i="30"/>
  <c r="CN10" i="30" s="1"/>
  <c r="CQ10" i="30"/>
  <c r="CR10" i="30"/>
  <c r="CS10" i="30"/>
  <c r="CT10" i="30"/>
  <c r="CU10" i="30"/>
  <c r="CV10" i="30"/>
  <c r="CW10" i="30"/>
  <c r="CX10" i="30"/>
  <c r="CY10" i="30"/>
  <c r="CZ10" i="30"/>
  <c r="DA10" i="30"/>
  <c r="DB10" i="30"/>
  <c r="DC10" i="30"/>
  <c r="DD10" i="30"/>
  <c r="DM10" i="30"/>
  <c r="A13" i="30"/>
  <c r="DK13" i="30" s="1"/>
  <c r="AE13" i="30"/>
  <c r="AF13" i="30"/>
  <c r="AI13" i="30"/>
  <c r="AL13" i="30"/>
  <c r="AO11" i="30"/>
  <c r="AP11" i="30"/>
  <c r="AQ11" i="30"/>
  <c r="AR11" i="30"/>
  <c r="AS11" i="30"/>
  <c r="AT11" i="30"/>
  <c r="AU11" i="30"/>
  <c r="AV11" i="30"/>
  <c r="AY11" i="30"/>
  <c r="AZ11" i="30"/>
  <c r="BC11" i="30"/>
  <c r="BM11" i="30"/>
  <c r="BY11" i="30"/>
  <c r="BZ11" i="30" s="1"/>
  <c r="CA11" i="30"/>
  <c r="CC11" i="30"/>
  <c r="CE11" i="30"/>
  <c r="CF11" i="30" s="1"/>
  <c r="CG11" i="30"/>
  <c r="CH11" i="30" s="1"/>
  <c r="CI11" i="30"/>
  <c r="CJ11" i="30" s="1"/>
  <c r="CK11" i="30"/>
  <c r="CL11" i="30" s="1"/>
  <c r="CM11" i="30"/>
  <c r="CN11" i="30" s="1"/>
  <c r="CQ11" i="30"/>
  <c r="CR11" i="30"/>
  <c r="CS11" i="30"/>
  <c r="CT11" i="30"/>
  <c r="CU11" i="30"/>
  <c r="CV11" i="30"/>
  <c r="CW11" i="30"/>
  <c r="CX11" i="30"/>
  <c r="CY11" i="30"/>
  <c r="CZ11" i="30"/>
  <c r="DA11" i="30"/>
  <c r="DB11" i="30"/>
  <c r="DC11" i="30"/>
  <c r="DD11" i="30"/>
  <c r="DK11" i="30"/>
  <c r="DM11" i="30"/>
  <c r="A11" i="30"/>
  <c r="AX12" i="30" s="1"/>
  <c r="AE11" i="30"/>
  <c r="DR12" i="30" s="1"/>
  <c r="AF11" i="30"/>
  <c r="AI11" i="30"/>
  <c r="AL11" i="30"/>
  <c r="AO12" i="30"/>
  <c r="AP12" i="30"/>
  <c r="AQ12" i="30"/>
  <c r="AR12" i="30"/>
  <c r="AS12" i="30"/>
  <c r="AT12" i="30"/>
  <c r="AU12" i="30"/>
  <c r="AV12" i="30"/>
  <c r="AY12" i="30"/>
  <c r="AZ12" i="30"/>
  <c r="BB12" i="30"/>
  <c r="BL12" i="30"/>
  <c r="BY12" i="30"/>
  <c r="BZ12" i="30" s="1"/>
  <c r="CA12" i="30"/>
  <c r="CB12" i="30" s="1"/>
  <c r="CC12" i="30"/>
  <c r="CE12" i="30"/>
  <c r="CF12" i="30" s="1"/>
  <c r="CG12" i="30"/>
  <c r="CH12" i="30" s="1"/>
  <c r="CI12" i="30"/>
  <c r="CJ12" i="30" s="1"/>
  <c r="CK12" i="30"/>
  <c r="CL12" i="30" s="1"/>
  <c r="CM12" i="30"/>
  <c r="CN12" i="30" s="1"/>
  <c r="CQ12" i="30"/>
  <c r="AM11" i="30" s="1"/>
  <c r="CR12" i="30"/>
  <c r="CS12" i="30"/>
  <c r="CT12" i="30"/>
  <c r="CU12" i="30"/>
  <c r="CV12" i="30"/>
  <c r="CW12" i="30"/>
  <c r="CX12" i="30"/>
  <c r="CY12" i="30"/>
  <c r="AJ11" i="30" s="1"/>
  <c r="CZ12" i="30"/>
  <c r="DA12" i="30"/>
  <c r="DB12" i="30"/>
  <c r="DC12" i="30"/>
  <c r="DD12" i="30"/>
  <c r="DK12" i="30"/>
  <c r="DM12" i="30"/>
  <c r="A10" i="30"/>
  <c r="AX13" i="30" s="1"/>
  <c r="AE10" i="30"/>
  <c r="DR13" i="30" s="1"/>
  <c r="AF10" i="30"/>
  <c r="AI10" i="30"/>
  <c r="AL10" i="30"/>
  <c r="AO13" i="30"/>
  <c r="AP13" i="30"/>
  <c r="AQ13" i="30"/>
  <c r="AR13" i="30"/>
  <c r="AS13" i="30"/>
  <c r="AT13" i="30"/>
  <c r="AU13" i="30"/>
  <c r="AV13" i="30"/>
  <c r="AY13" i="30"/>
  <c r="AZ13" i="30"/>
  <c r="BB13" i="30"/>
  <c r="BC13" i="30"/>
  <c r="BV5" i="30" s="1"/>
  <c r="BD13" i="30"/>
  <c r="BE13" i="30"/>
  <c r="BF13" i="30"/>
  <c r="BG13" i="30"/>
  <c r="BH13" i="30"/>
  <c r="BI13" i="30"/>
  <c r="BJ13" i="30"/>
  <c r="BL13" i="30"/>
  <c r="BM13" i="30"/>
  <c r="BV6" i="30" s="1"/>
  <c r="BN13" i="30"/>
  <c r="BO13" i="30"/>
  <c r="BP13" i="30"/>
  <c r="BQ13" i="30"/>
  <c r="BR13" i="30"/>
  <c r="BS13" i="30"/>
  <c r="BT13" i="30"/>
  <c r="BW13" i="30"/>
  <c r="BY13" i="30"/>
  <c r="BZ13" i="30" s="1"/>
  <c r="CA13" i="30"/>
  <c r="CC13" i="30"/>
  <c r="CE13" i="30"/>
  <c r="CF13" i="30" s="1"/>
  <c r="CG13" i="30"/>
  <c r="CH13" i="30" s="1"/>
  <c r="CI13" i="30"/>
  <c r="CJ13" i="30" s="1"/>
  <c r="CK13" i="30"/>
  <c r="CL13" i="30" s="1"/>
  <c r="CM13" i="30"/>
  <c r="CN13" i="30" s="1"/>
  <c r="CP13" i="30"/>
  <c r="CQ13" i="30"/>
  <c r="AM10" i="30" s="1"/>
  <c r="CR13" i="30"/>
  <c r="CS13" i="30"/>
  <c r="CT13" i="30"/>
  <c r="CU13" i="30"/>
  <c r="CV13" i="30"/>
  <c r="CW13" i="30"/>
  <c r="CX13" i="30"/>
  <c r="CY13" i="30"/>
  <c r="CZ13" i="30"/>
  <c r="DA13" i="30"/>
  <c r="DB13" i="30"/>
  <c r="DC13" i="30"/>
  <c r="DD13" i="30"/>
  <c r="DM13" i="30"/>
  <c r="A15" i="30"/>
  <c r="DK14" i="30" s="1"/>
  <c r="AE15" i="30"/>
  <c r="AF15" i="30"/>
  <c r="AI15" i="30"/>
  <c r="AL15" i="30"/>
  <c r="AO14" i="30"/>
  <c r="AP14" i="30"/>
  <c r="AQ14" i="30"/>
  <c r="AR14" i="30"/>
  <c r="AS14" i="30"/>
  <c r="AT14" i="30"/>
  <c r="AU14" i="30"/>
  <c r="AV14" i="30"/>
  <c r="AY14" i="30"/>
  <c r="AZ14" i="30"/>
  <c r="BY14" i="30"/>
  <c r="BZ14" i="30" s="1"/>
  <c r="CA14" i="30"/>
  <c r="CB14" i="30" s="1"/>
  <c r="CC14" i="30"/>
  <c r="CD14" i="30" s="1"/>
  <c r="CE14" i="30"/>
  <c r="CG14" i="30"/>
  <c r="CH14" i="30" s="1"/>
  <c r="CI14" i="30"/>
  <c r="CJ14" i="30" s="1"/>
  <c r="CK14" i="30"/>
  <c r="CL14" i="30" s="1"/>
  <c r="CM14" i="30"/>
  <c r="CN14" i="30" s="1"/>
  <c r="CQ14" i="30"/>
  <c r="CR14" i="30"/>
  <c r="CS14" i="30"/>
  <c r="CT14" i="30"/>
  <c r="CU14" i="30"/>
  <c r="CV14" i="30"/>
  <c r="CW14" i="30"/>
  <c r="CX14" i="30"/>
  <c r="CY14" i="30"/>
  <c r="CZ14" i="30"/>
  <c r="DA14" i="30"/>
  <c r="DB14" i="30"/>
  <c r="DC14" i="30"/>
  <c r="DD14" i="30"/>
  <c r="DM14" i="30"/>
  <c r="DR14" i="30"/>
  <c r="A17" i="30"/>
  <c r="AE17" i="30"/>
  <c r="DR17" i="30" s="1"/>
  <c r="AF17" i="30"/>
  <c r="AI17" i="30"/>
  <c r="AL17" i="30"/>
  <c r="AO15" i="30"/>
  <c r="AP15" i="30"/>
  <c r="AQ15" i="30"/>
  <c r="AR15" i="30"/>
  <c r="AS15" i="30"/>
  <c r="AT15" i="30"/>
  <c r="AU15" i="30"/>
  <c r="AV15" i="30"/>
  <c r="AX15" i="30"/>
  <c r="DI15" i="30" s="1"/>
  <c r="AY15" i="30"/>
  <c r="AZ15" i="30"/>
  <c r="BY15" i="30"/>
  <c r="BZ15" i="30" s="1"/>
  <c r="CA15" i="30"/>
  <c r="CB15" i="30" s="1"/>
  <c r="CC15" i="30"/>
  <c r="CD15" i="30" s="1"/>
  <c r="CE15" i="30"/>
  <c r="CG15" i="30"/>
  <c r="CH15" i="30" s="1"/>
  <c r="CI15" i="30"/>
  <c r="CJ15" i="30" s="1"/>
  <c r="CK15" i="30"/>
  <c r="CL15" i="30" s="1"/>
  <c r="CM15" i="30"/>
  <c r="CN15" i="30" s="1"/>
  <c r="CP15" i="30"/>
  <c r="CQ15" i="30"/>
  <c r="CR15" i="30"/>
  <c r="CS15" i="30"/>
  <c r="CT15" i="30"/>
  <c r="CU15" i="30"/>
  <c r="CV15" i="30"/>
  <c r="CW15" i="30"/>
  <c r="CX15" i="30"/>
  <c r="CY15" i="30"/>
  <c r="CZ15" i="30"/>
  <c r="DA15" i="30"/>
  <c r="DB15" i="30"/>
  <c r="DC15" i="30"/>
  <c r="DD15" i="30"/>
  <c r="DM15" i="30"/>
  <c r="DR15" i="30"/>
  <c r="A14" i="30"/>
  <c r="AE14" i="30"/>
  <c r="AF14" i="30"/>
  <c r="AI14" i="30"/>
  <c r="AL14" i="30"/>
  <c r="AO16" i="30"/>
  <c r="AP16" i="30"/>
  <c r="AQ16" i="30"/>
  <c r="AR16" i="30"/>
  <c r="AS16" i="30"/>
  <c r="AT16" i="30"/>
  <c r="AU16" i="30"/>
  <c r="AV16" i="30"/>
  <c r="AY16" i="30"/>
  <c r="AZ16" i="30"/>
  <c r="BY16" i="30"/>
  <c r="BZ16" i="30" s="1"/>
  <c r="CA16" i="30"/>
  <c r="CB16" i="30" s="1"/>
  <c r="CC16" i="30"/>
  <c r="CD16" i="30" s="1"/>
  <c r="CE16" i="30"/>
  <c r="CG16" i="30"/>
  <c r="CH16" i="30" s="1"/>
  <c r="CI16" i="30"/>
  <c r="CJ16" i="30" s="1"/>
  <c r="CK16" i="30"/>
  <c r="CL16" i="30" s="1"/>
  <c r="CM16" i="30"/>
  <c r="CN16" i="30" s="1"/>
  <c r="CQ16" i="30"/>
  <c r="CR16" i="30"/>
  <c r="CS16" i="30"/>
  <c r="CT16" i="30"/>
  <c r="CU16" i="30"/>
  <c r="CV16" i="30"/>
  <c r="CW16" i="30"/>
  <c r="CX16" i="30"/>
  <c r="CY16" i="30"/>
  <c r="CZ16" i="30"/>
  <c r="DA16" i="30"/>
  <c r="DB16" i="30"/>
  <c r="DC16" i="30"/>
  <c r="DD16" i="30"/>
  <c r="DM16" i="30"/>
  <c r="A18" i="30"/>
  <c r="AE18" i="30"/>
  <c r="AF18" i="30"/>
  <c r="AI18" i="30"/>
  <c r="AL18" i="30"/>
  <c r="AO17" i="30"/>
  <c r="AP17" i="30"/>
  <c r="AQ17" i="30"/>
  <c r="AR17" i="30"/>
  <c r="AS17" i="30"/>
  <c r="AT17" i="30"/>
  <c r="AU17" i="30"/>
  <c r="AV17" i="30"/>
  <c r="AX17" i="30"/>
  <c r="AY17" i="30"/>
  <c r="AZ17" i="30"/>
  <c r="BY17" i="30"/>
  <c r="BZ17" i="30" s="1"/>
  <c r="CA17" i="30"/>
  <c r="CB17" i="30" s="1"/>
  <c r="CC17" i="30"/>
  <c r="CD17" i="30" s="1"/>
  <c r="CE17" i="30"/>
  <c r="CF17" i="30" s="1"/>
  <c r="CG17" i="30"/>
  <c r="CH17" i="30" s="1"/>
  <c r="CI17" i="30"/>
  <c r="CJ17" i="30" s="1"/>
  <c r="CK17" i="30"/>
  <c r="CL17" i="30" s="1"/>
  <c r="CM17" i="30"/>
  <c r="CN17" i="30" s="1"/>
  <c r="CP17" i="30"/>
  <c r="CQ17" i="30"/>
  <c r="CR17" i="30"/>
  <c r="CS17" i="30"/>
  <c r="CT17" i="30"/>
  <c r="CU17" i="30"/>
  <c r="CV17" i="30"/>
  <c r="CW17" i="30"/>
  <c r="CX17" i="30"/>
  <c r="CY17" i="30"/>
  <c r="CZ17" i="30"/>
  <c r="DA17" i="30"/>
  <c r="DB17" i="30"/>
  <c r="DC17" i="30"/>
  <c r="DD17" i="30"/>
  <c r="DI17" i="30"/>
  <c r="DK17" i="30"/>
  <c r="DM17" i="30"/>
  <c r="A16" i="30"/>
  <c r="DK16" i="30" s="1"/>
  <c r="AE16" i="30"/>
  <c r="CP16" i="30" s="1"/>
  <c r="AF16" i="30"/>
  <c r="AI16" i="30"/>
  <c r="AL16" i="30"/>
  <c r="AO18" i="30"/>
  <c r="AP18" i="30"/>
  <c r="AQ18" i="30"/>
  <c r="AR18" i="30"/>
  <c r="AS18" i="30"/>
  <c r="AT18" i="30"/>
  <c r="AU18" i="30"/>
  <c r="AV18" i="30"/>
  <c r="AX18" i="30"/>
  <c r="DI18" i="30" s="1"/>
  <c r="AY18" i="30"/>
  <c r="AZ18" i="30"/>
  <c r="BV18" i="30"/>
  <c r="BY18" i="30"/>
  <c r="BZ18" i="30" s="1"/>
  <c r="CA18" i="30"/>
  <c r="CC18" i="30"/>
  <c r="CD18" i="30" s="1"/>
  <c r="CE18" i="30"/>
  <c r="CG18" i="30"/>
  <c r="CH18" i="30" s="1"/>
  <c r="CI18" i="30"/>
  <c r="CJ18" i="30" s="1"/>
  <c r="CK18" i="30"/>
  <c r="CL18" i="30" s="1"/>
  <c r="CM18" i="30"/>
  <c r="CN18" i="30" s="1"/>
  <c r="CP18" i="30"/>
  <c r="CQ18" i="30"/>
  <c r="CR18" i="30"/>
  <c r="CS18" i="30"/>
  <c r="CT18" i="30"/>
  <c r="CU18" i="30"/>
  <c r="CV18" i="30"/>
  <c r="CW18" i="30"/>
  <c r="CX18" i="30"/>
  <c r="AJ16" i="30" s="1"/>
  <c r="CY18" i="30"/>
  <c r="CZ18" i="30"/>
  <c r="DA18" i="30"/>
  <c r="DB18" i="30"/>
  <c r="DC18" i="30"/>
  <c r="DD18" i="30"/>
  <c r="DK18" i="30"/>
  <c r="DM18" i="30"/>
  <c r="DR18" i="30"/>
  <c r="A22" i="30"/>
  <c r="AE22" i="30"/>
  <c r="CP22" i="30" s="1"/>
  <c r="AF22" i="30"/>
  <c r="AI22" i="30"/>
  <c r="AL22" i="30"/>
  <c r="AO19" i="30"/>
  <c r="AP19" i="30"/>
  <c r="AQ19" i="30"/>
  <c r="AR19" i="30"/>
  <c r="AS19" i="30"/>
  <c r="AT19" i="30"/>
  <c r="AU19" i="30"/>
  <c r="AV19" i="30"/>
  <c r="AY19" i="30"/>
  <c r="AZ19" i="30"/>
  <c r="BY19" i="30"/>
  <c r="BZ19" i="30" s="1"/>
  <c r="CA19" i="30"/>
  <c r="CB19" i="30" s="1"/>
  <c r="CC19" i="30"/>
  <c r="CE19" i="30"/>
  <c r="CG19" i="30"/>
  <c r="CI19" i="30"/>
  <c r="CJ19" i="30" s="1"/>
  <c r="CK19" i="30"/>
  <c r="CL19" i="30" s="1"/>
  <c r="CM19" i="30"/>
  <c r="CN19" i="30" s="1"/>
  <c r="CQ19" i="30"/>
  <c r="CR19" i="30"/>
  <c r="CS19" i="30"/>
  <c r="CT19" i="30"/>
  <c r="CU19" i="30"/>
  <c r="CV19" i="30"/>
  <c r="CW19" i="30"/>
  <c r="CX19" i="30"/>
  <c r="CY19" i="30"/>
  <c r="CZ19" i="30"/>
  <c r="DA19" i="30"/>
  <c r="DB19" i="30"/>
  <c r="DC19" i="30"/>
  <c r="DD19" i="30"/>
  <c r="DM19" i="30"/>
  <c r="A21" i="30"/>
  <c r="AE21" i="30"/>
  <c r="AF21" i="30"/>
  <c r="AI21" i="30"/>
  <c r="AL21" i="30"/>
  <c r="AO20" i="30"/>
  <c r="AP20" i="30"/>
  <c r="AQ20" i="30"/>
  <c r="AR20" i="30"/>
  <c r="AS20" i="30"/>
  <c r="AT20" i="30"/>
  <c r="AU20" i="30"/>
  <c r="AV20" i="30"/>
  <c r="AY20" i="30"/>
  <c r="AZ20" i="30"/>
  <c r="BV20" i="30"/>
  <c r="BY20" i="30"/>
  <c r="BZ20" i="30" s="1"/>
  <c r="CA20" i="30"/>
  <c r="CB20" i="30" s="1"/>
  <c r="CC20" i="30"/>
  <c r="CD20" i="30" s="1"/>
  <c r="CE20" i="30"/>
  <c r="CF20" i="30" s="1"/>
  <c r="CG20" i="30"/>
  <c r="CI20" i="30"/>
  <c r="CJ20" i="30" s="1"/>
  <c r="CK20" i="30"/>
  <c r="CL20" i="30" s="1"/>
  <c r="CM20" i="30"/>
  <c r="CN20" i="30" s="1"/>
  <c r="CQ20" i="30"/>
  <c r="CR20" i="30"/>
  <c r="CS20" i="30"/>
  <c r="CT20" i="30"/>
  <c r="CU20" i="30"/>
  <c r="CV20" i="30"/>
  <c r="CW20" i="30"/>
  <c r="CX20" i="30"/>
  <c r="CY20" i="30"/>
  <c r="CZ20" i="30"/>
  <c r="DA20" i="30"/>
  <c r="DB20" i="30"/>
  <c r="DC20" i="30"/>
  <c r="DD20" i="30"/>
  <c r="DM20" i="30"/>
  <c r="A19" i="30"/>
  <c r="AX21" i="30" s="1"/>
  <c r="AE19" i="30"/>
  <c r="DR19" i="30" s="1"/>
  <c r="AF19" i="30"/>
  <c r="AI19" i="30"/>
  <c r="AL19" i="30"/>
  <c r="AO21" i="30"/>
  <c r="AP21" i="30"/>
  <c r="AQ21" i="30"/>
  <c r="AR21" i="30"/>
  <c r="AS21" i="30"/>
  <c r="AT21" i="30"/>
  <c r="AU21" i="30"/>
  <c r="AV21" i="30"/>
  <c r="AY21" i="30"/>
  <c r="AZ21" i="30"/>
  <c r="BY21" i="30"/>
  <c r="BZ21" i="30" s="1"/>
  <c r="CA21" i="30"/>
  <c r="CB21" i="30" s="1"/>
  <c r="CC21" i="30"/>
  <c r="CD21" i="30" s="1"/>
  <c r="CE21" i="30"/>
  <c r="CG21" i="30"/>
  <c r="CI21" i="30"/>
  <c r="CJ21" i="30" s="1"/>
  <c r="CK21" i="30"/>
  <c r="CL21" i="30" s="1"/>
  <c r="CM21" i="30"/>
  <c r="CN21" i="30" s="1"/>
  <c r="CP21" i="30"/>
  <c r="CQ21" i="30"/>
  <c r="AM19" i="30" s="1"/>
  <c r="CR21" i="30"/>
  <c r="CS21" i="30"/>
  <c r="CT21" i="30"/>
  <c r="CU21" i="30"/>
  <c r="CV21" i="30"/>
  <c r="CW21" i="30"/>
  <c r="CX21" i="30"/>
  <c r="CY21" i="30"/>
  <c r="CZ21" i="30"/>
  <c r="DA21" i="30"/>
  <c r="DB21" i="30"/>
  <c r="DC21" i="30"/>
  <c r="DD21" i="30"/>
  <c r="DK21" i="30"/>
  <c r="DM21" i="30"/>
  <c r="DR21" i="30"/>
  <c r="A23" i="30"/>
  <c r="AX22" i="30" s="1"/>
  <c r="AE23" i="30"/>
  <c r="AF23" i="30"/>
  <c r="AI23" i="30"/>
  <c r="AL23" i="30"/>
  <c r="AO22" i="30"/>
  <c r="AP22" i="30"/>
  <c r="AQ22" i="30"/>
  <c r="AR22" i="30"/>
  <c r="AS22" i="30"/>
  <c r="AT22" i="30"/>
  <c r="AU22" i="30"/>
  <c r="AV22" i="30"/>
  <c r="AY22" i="30"/>
  <c r="AZ22" i="30"/>
  <c r="BC22" i="30"/>
  <c r="BM22" i="30"/>
  <c r="BY22" i="30"/>
  <c r="BZ22" i="30" s="1"/>
  <c r="CA22" i="30"/>
  <c r="CB22" i="30" s="1"/>
  <c r="CC22" i="30"/>
  <c r="CD22" i="30" s="1"/>
  <c r="CE22" i="30"/>
  <c r="CF22" i="30" s="1"/>
  <c r="CG22" i="30"/>
  <c r="CI22" i="30"/>
  <c r="CK22" i="30"/>
  <c r="CL22" i="30" s="1"/>
  <c r="CM22" i="30"/>
  <c r="CN22" i="30" s="1"/>
  <c r="CQ22" i="30"/>
  <c r="CR22" i="30"/>
  <c r="CS22" i="30"/>
  <c r="CT22" i="30"/>
  <c r="CU22" i="30"/>
  <c r="CV22" i="30"/>
  <c r="CW22" i="30"/>
  <c r="CX22" i="30"/>
  <c r="CY22" i="30"/>
  <c r="CZ22" i="30"/>
  <c r="DA22" i="30"/>
  <c r="DB22" i="30"/>
  <c r="DC22" i="30"/>
  <c r="DD22" i="30"/>
  <c r="DK22" i="30"/>
  <c r="DM22" i="30"/>
  <c r="DR22" i="30"/>
  <c r="A20" i="30"/>
  <c r="AX23" i="30" s="1"/>
  <c r="DI23" i="30" s="1"/>
  <c r="AE20" i="30"/>
  <c r="CP20" i="30" s="1"/>
  <c r="AF20" i="30"/>
  <c r="AI20" i="30"/>
  <c r="AL20" i="30"/>
  <c r="AO23" i="30"/>
  <c r="AP23" i="30"/>
  <c r="AQ23" i="30"/>
  <c r="AR23" i="30"/>
  <c r="AS23" i="30"/>
  <c r="AT23" i="30"/>
  <c r="AU23" i="30"/>
  <c r="AV23" i="30"/>
  <c r="AY23" i="30"/>
  <c r="AZ23" i="30"/>
  <c r="BB23" i="30"/>
  <c r="BL23" i="30"/>
  <c r="BY23" i="30"/>
  <c r="BZ23" i="30" s="1"/>
  <c r="CA23" i="30"/>
  <c r="CB23" i="30" s="1"/>
  <c r="CC23" i="30"/>
  <c r="CD23" i="30" s="1"/>
  <c r="CE23" i="30"/>
  <c r="CF23" i="30" s="1"/>
  <c r="CG23" i="30"/>
  <c r="CH23" i="30" s="1"/>
  <c r="CI23" i="30"/>
  <c r="CJ23" i="30" s="1"/>
  <c r="CK23" i="30"/>
  <c r="CL23" i="30" s="1"/>
  <c r="CM23" i="30"/>
  <c r="CN23" i="30" s="1"/>
  <c r="CP23" i="30"/>
  <c r="CQ23" i="30"/>
  <c r="CR23" i="30"/>
  <c r="CS23" i="30"/>
  <c r="CT23" i="30"/>
  <c r="CU23" i="30"/>
  <c r="CV23" i="30"/>
  <c r="CW23" i="30"/>
  <c r="CX23" i="30"/>
  <c r="AJ20" i="30" s="1"/>
  <c r="CY23" i="30"/>
  <c r="CZ23" i="30"/>
  <c r="DA23" i="30"/>
  <c r="DB23" i="30"/>
  <c r="DC23" i="30"/>
  <c r="DD23" i="30"/>
  <c r="DK23" i="30"/>
  <c r="DM23" i="30"/>
  <c r="DR23" i="30"/>
  <c r="A28" i="30"/>
  <c r="AE28" i="30"/>
  <c r="AF28" i="30"/>
  <c r="AI28" i="30"/>
  <c r="AL28" i="30"/>
  <c r="AO24" i="30"/>
  <c r="AP24" i="30"/>
  <c r="AQ24" i="30"/>
  <c r="AR24" i="30"/>
  <c r="AS24" i="30"/>
  <c r="AT24" i="30"/>
  <c r="AU24" i="30"/>
  <c r="AV24" i="30"/>
  <c r="AY24" i="30"/>
  <c r="AZ24" i="30"/>
  <c r="BB24" i="30"/>
  <c r="BC24" i="30"/>
  <c r="BV7" i="30" s="1"/>
  <c r="BD24" i="30"/>
  <c r="BE24" i="30"/>
  <c r="BF24" i="30"/>
  <c r="BI24" i="30"/>
  <c r="BJ24" i="30"/>
  <c r="BM24" i="30"/>
  <c r="BV8" i="30" s="1"/>
  <c r="BN24" i="30"/>
  <c r="BO24" i="30"/>
  <c r="BP24" i="30"/>
  <c r="BQ24" i="30"/>
  <c r="BR24" i="30"/>
  <c r="BS24" i="30"/>
  <c r="BT24" i="30"/>
  <c r="BY24" i="30"/>
  <c r="BZ24" i="30" s="1"/>
  <c r="CA24" i="30"/>
  <c r="CB24" i="30" s="1"/>
  <c r="CC24" i="30"/>
  <c r="CD24" i="30" s="1"/>
  <c r="CE24" i="30"/>
  <c r="CF24" i="30" s="1"/>
  <c r="CG24" i="30"/>
  <c r="CI24" i="30"/>
  <c r="CK24" i="30"/>
  <c r="CL24" i="30" s="1"/>
  <c r="CM24" i="30"/>
  <c r="CN24" i="30" s="1"/>
  <c r="CP24" i="30"/>
  <c r="CQ24" i="30"/>
  <c r="CR24" i="30"/>
  <c r="CS24" i="30"/>
  <c r="CT24" i="30"/>
  <c r="CU24" i="30"/>
  <c r="CV24" i="30"/>
  <c r="CW24" i="30"/>
  <c r="CX24" i="30"/>
  <c r="CY24" i="30"/>
  <c r="CZ24" i="30"/>
  <c r="DA24" i="30"/>
  <c r="DB24" i="30"/>
  <c r="DC24" i="30"/>
  <c r="DD24" i="30"/>
  <c r="DM24" i="30"/>
  <c r="DR24" i="30"/>
  <c r="A25" i="30"/>
  <c r="AE25" i="30"/>
  <c r="DR25" i="30" s="1"/>
  <c r="AF25" i="30"/>
  <c r="AI25" i="30"/>
  <c r="AL25" i="30"/>
  <c r="AO25" i="30"/>
  <c r="AP25" i="30"/>
  <c r="AQ25" i="30"/>
  <c r="AR25" i="30"/>
  <c r="AS25" i="30"/>
  <c r="AT25" i="30"/>
  <c r="AU25" i="30"/>
  <c r="AV25" i="30"/>
  <c r="AX25" i="30"/>
  <c r="DI25" i="30" s="1"/>
  <c r="AY25" i="30"/>
  <c r="AZ25" i="30"/>
  <c r="BY25" i="30"/>
  <c r="BZ25" i="30" s="1"/>
  <c r="CA25" i="30"/>
  <c r="CB25" i="30" s="1"/>
  <c r="CC25" i="30"/>
  <c r="CD25" i="30" s="1"/>
  <c r="CE25" i="30"/>
  <c r="CF25" i="30" s="1"/>
  <c r="CG25" i="30"/>
  <c r="CH25" i="30" s="1"/>
  <c r="CI25" i="30"/>
  <c r="CJ25" i="30" s="1"/>
  <c r="CK25" i="30"/>
  <c r="CL25" i="30" s="1"/>
  <c r="CM25" i="30"/>
  <c r="CN25" i="30" s="1"/>
  <c r="CQ25" i="30"/>
  <c r="CR25" i="30"/>
  <c r="CS25" i="30"/>
  <c r="CT25" i="30"/>
  <c r="CU25" i="30"/>
  <c r="CV25" i="30"/>
  <c r="CW25" i="30"/>
  <c r="CX25" i="30"/>
  <c r="CY25" i="30"/>
  <c r="CZ25" i="30"/>
  <c r="DA25" i="30"/>
  <c r="DB25" i="30"/>
  <c r="DC25" i="30"/>
  <c r="DD25" i="30"/>
  <c r="DK25" i="30"/>
  <c r="DM25" i="30"/>
  <c r="A24" i="30"/>
  <c r="AE24" i="30"/>
  <c r="AF24" i="30"/>
  <c r="AI24" i="30"/>
  <c r="AL24" i="30"/>
  <c r="AO26" i="30"/>
  <c r="AP26" i="30"/>
  <c r="AQ26" i="30"/>
  <c r="AR26" i="30"/>
  <c r="AS26" i="30"/>
  <c r="AT26" i="30"/>
  <c r="AU26" i="30"/>
  <c r="AV26" i="30"/>
  <c r="AY26" i="30"/>
  <c r="AZ26" i="30"/>
  <c r="BY26" i="30"/>
  <c r="BZ26" i="30" s="1"/>
  <c r="CA26" i="30"/>
  <c r="CB26" i="30" s="1"/>
  <c r="CC26" i="30"/>
  <c r="CD26" i="30" s="1"/>
  <c r="CE26" i="30"/>
  <c r="CF26" i="30" s="1"/>
  <c r="CG26" i="30"/>
  <c r="CH26" i="30" s="1"/>
  <c r="CI26" i="30"/>
  <c r="CK26" i="30"/>
  <c r="CL26" i="30" s="1"/>
  <c r="CM26" i="30"/>
  <c r="CN26" i="30" s="1"/>
  <c r="CQ26" i="30"/>
  <c r="CR26" i="30"/>
  <c r="CS26" i="30"/>
  <c r="CT26" i="30"/>
  <c r="CU26" i="30"/>
  <c r="CV26" i="30"/>
  <c r="CW26" i="30"/>
  <c r="CX26" i="30"/>
  <c r="CY26" i="30"/>
  <c r="CZ26" i="30"/>
  <c r="DA26" i="30"/>
  <c r="DB26" i="30"/>
  <c r="DC26" i="30"/>
  <c r="DD26" i="30"/>
  <c r="DK26" i="30"/>
  <c r="DM26" i="30"/>
  <c r="A26" i="30"/>
  <c r="AE26" i="30"/>
  <c r="AF26" i="30"/>
  <c r="AI26" i="30"/>
  <c r="AL26" i="30"/>
  <c r="AO27" i="30"/>
  <c r="AP27" i="30"/>
  <c r="AQ27" i="30"/>
  <c r="AR27" i="30"/>
  <c r="AS27" i="30"/>
  <c r="AT27" i="30"/>
  <c r="AU27" i="30"/>
  <c r="AV27" i="30"/>
  <c r="AY27" i="30"/>
  <c r="AZ27" i="30"/>
  <c r="BY27" i="30"/>
  <c r="BZ27" i="30" s="1"/>
  <c r="CA27" i="30"/>
  <c r="CB27" i="30" s="1"/>
  <c r="CC27" i="30"/>
  <c r="CD27" i="30" s="1"/>
  <c r="CE27" i="30"/>
  <c r="CF27" i="30" s="1"/>
  <c r="CG27" i="30"/>
  <c r="CH27" i="30" s="1"/>
  <c r="CI27" i="30"/>
  <c r="CK27" i="30"/>
  <c r="CL27" i="30" s="1"/>
  <c r="CM27" i="30"/>
  <c r="CN27" i="30" s="1"/>
  <c r="CP27" i="30"/>
  <c r="CQ27" i="30"/>
  <c r="CR27" i="30"/>
  <c r="CS27" i="30"/>
  <c r="CT27" i="30"/>
  <c r="CU27" i="30"/>
  <c r="CV27" i="30"/>
  <c r="CW27" i="30"/>
  <c r="CX27" i="30"/>
  <c r="CY27" i="30"/>
  <c r="CZ27" i="30"/>
  <c r="DA27" i="30"/>
  <c r="DB27" i="30"/>
  <c r="DC27" i="30"/>
  <c r="DD27" i="30"/>
  <c r="DM27" i="30"/>
  <c r="A27" i="30"/>
  <c r="AX28" i="30" s="1"/>
  <c r="DI28" i="30" s="1"/>
  <c r="AE27" i="30"/>
  <c r="DR27" i="30" s="1"/>
  <c r="AF27" i="30"/>
  <c r="AI27" i="30"/>
  <c r="AL27" i="30"/>
  <c r="AO28" i="30"/>
  <c r="AP28" i="30"/>
  <c r="AQ28" i="30"/>
  <c r="AR28" i="30"/>
  <c r="AS28" i="30"/>
  <c r="AT28" i="30"/>
  <c r="AU28" i="30"/>
  <c r="AV28" i="30"/>
  <c r="AY28" i="30"/>
  <c r="AZ28" i="30"/>
  <c r="BY28" i="30"/>
  <c r="BZ28" i="30" s="1"/>
  <c r="CA28" i="30"/>
  <c r="CB28" i="30" s="1"/>
  <c r="CC28" i="30"/>
  <c r="CD28" i="30" s="1"/>
  <c r="CE28" i="30"/>
  <c r="CF28" i="30" s="1"/>
  <c r="CG28" i="30"/>
  <c r="CH28" i="30" s="1"/>
  <c r="CI28" i="30"/>
  <c r="CJ28" i="30" s="1"/>
  <c r="CK28" i="30"/>
  <c r="CL28" i="30" s="1"/>
  <c r="CM28" i="30"/>
  <c r="CN28" i="30" s="1"/>
  <c r="CP28" i="30"/>
  <c r="CQ28" i="30"/>
  <c r="AM27" i="30" s="1"/>
  <c r="CR28" i="30"/>
  <c r="CS28" i="30"/>
  <c r="CT28" i="30"/>
  <c r="CU28" i="30"/>
  <c r="CV28" i="30"/>
  <c r="CW28" i="30"/>
  <c r="CX28" i="30"/>
  <c r="CY28" i="30"/>
  <c r="CZ28" i="30"/>
  <c r="DA28" i="30"/>
  <c r="DB28" i="30"/>
  <c r="DC28" i="30"/>
  <c r="DD28" i="30"/>
  <c r="DK28" i="30"/>
  <c r="DM28" i="30"/>
  <c r="DR28" i="30"/>
  <c r="A30" i="30"/>
  <c r="AE30" i="30"/>
  <c r="CP30" i="30" s="1"/>
  <c r="AF30" i="30"/>
  <c r="AI30" i="30"/>
  <c r="AL30" i="30"/>
  <c r="AO29" i="30"/>
  <c r="AP29" i="30"/>
  <c r="AQ29" i="30"/>
  <c r="AR29" i="30"/>
  <c r="AS29" i="30"/>
  <c r="AT29" i="30"/>
  <c r="AU29" i="30"/>
  <c r="AV29" i="30"/>
  <c r="AY29" i="30"/>
  <c r="AZ29" i="30"/>
  <c r="BY29" i="30"/>
  <c r="BZ29" i="30" s="1"/>
  <c r="CA29" i="30"/>
  <c r="CB29" i="30" s="1"/>
  <c r="CC29" i="30"/>
  <c r="CD29" i="30" s="1"/>
  <c r="CE29" i="30"/>
  <c r="CF29" i="30" s="1"/>
  <c r="CG29" i="30"/>
  <c r="CH29" i="30" s="1"/>
  <c r="CI29" i="30"/>
  <c r="CJ29" i="30" s="1"/>
  <c r="CK29" i="30"/>
  <c r="CM29" i="30"/>
  <c r="CN29" i="30" s="1"/>
  <c r="CP29" i="30"/>
  <c r="CQ29" i="30"/>
  <c r="CR29" i="30"/>
  <c r="CS29" i="30"/>
  <c r="CT29" i="30"/>
  <c r="CU29" i="30"/>
  <c r="CV29" i="30"/>
  <c r="CW29" i="30"/>
  <c r="CX29" i="30"/>
  <c r="CY29" i="30"/>
  <c r="CZ29" i="30"/>
  <c r="DA29" i="30"/>
  <c r="DB29" i="30"/>
  <c r="DC29" i="30"/>
  <c r="DD29" i="30"/>
  <c r="DM29" i="30"/>
  <c r="A33" i="30"/>
  <c r="AX30" i="30" s="1"/>
  <c r="AE33" i="30"/>
  <c r="AF33" i="30"/>
  <c r="AI33" i="30"/>
  <c r="AL33" i="30"/>
  <c r="AO30" i="30"/>
  <c r="AP30" i="30"/>
  <c r="AQ30" i="30"/>
  <c r="AR30" i="30"/>
  <c r="AS30" i="30"/>
  <c r="AT30" i="30"/>
  <c r="AU30" i="30"/>
  <c r="AV30" i="30"/>
  <c r="AY30" i="30"/>
  <c r="AZ30" i="30"/>
  <c r="BY30" i="30"/>
  <c r="BZ30" i="30" s="1"/>
  <c r="CA30" i="30"/>
  <c r="CB30" i="30" s="1"/>
  <c r="CC30" i="30"/>
  <c r="CD30" i="30" s="1"/>
  <c r="CE30" i="30"/>
  <c r="CF30" i="30" s="1"/>
  <c r="CG30" i="30"/>
  <c r="CH30" i="30" s="1"/>
  <c r="CI30" i="30"/>
  <c r="CJ30" i="30" s="1"/>
  <c r="CK30" i="30"/>
  <c r="CM30" i="30"/>
  <c r="CN30" i="30" s="1"/>
  <c r="CQ30" i="30"/>
  <c r="CR30" i="30"/>
  <c r="CS30" i="30"/>
  <c r="CT30" i="30"/>
  <c r="CU30" i="30"/>
  <c r="CV30" i="30"/>
  <c r="CW30" i="30"/>
  <c r="CX30" i="30"/>
  <c r="CY30" i="30"/>
  <c r="CZ30" i="30"/>
  <c r="DA30" i="30"/>
  <c r="DB30" i="30"/>
  <c r="DC30" i="30"/>
  <c r="DD30" i="30"/>
  <c r="DI30" i="30"/>
  <c r="DK30" i="30"/>
  <c r="DM30" i="30"/>
  <c r="A32" i="30"/>
  <c r="AE32" i="30"/>
  <c r="DR31" i="30" s="1"/>
  <c r="AF32" i="30"/>
  <c r="AI32" i="30"/>
  <c r="AL32" i="30"/>
  <c r="AO31" i="30"/>
  <c r="AP31" i="30"/>
  <c r="AQ31" i="30"/>
  <c r="AR31" i="30"/>
  <c r="AS31" i="30"/>
  <c r="AT31" i="30"/>
  <c r="AU31" i="30"/>
  <c r="AV31" i="30"/>
  <c r="AY31" i="30"/>
  <c r="AZ31" i="30"/>
  <c r="BY31" i="30"/>
  <c r="BZ31" i="30" s="1"/>
  <c r="CA31" i="30"/>
  <c r="CB31" i="30" s="1"/>
  <c r="CC31" i="30"/>
  <c r="CD31" i="30" s="1"/>
  <c r="CE31" i="30"/>
  <c r="CF31" i="30" s="1"/>
  <c r="CG31" i="30"/>
  <c r="CH31" i="30" s="1"/>
  <c r="CI31" i="30"/>
  <c r="CJ31" i="30" s="1"/>
  <c r="CK31" i="30"/>
  <c r="CM31" i="30"/>
  <c r="CN31" i="30" s="1"/>
  <c r="CP31" i="30"/>
  <c r="CQ31" i="30"/>
  <c r="CR31" i="30"/>
  <c r="CS31" i="30"/>
  <c r="CT31" i="30"/>
  <c r="CU31" i="30"/>
  <c r="CV31" i="30"/>
  <c r="CW31" i="30"/>
  <c r="CX31" i="30"/>
  <c r="CY31" i="30"/>
  <c r="CZ31" i="30"/>
  <c r="DA31" i="30"/>
  <c r="DB31" i="30"/>
  <c r="DC31" i="30"/>
  <c r="DD31" i="30"/>
  <c r="DM31" i="30"/>
  <c r="A29" i="30"/>
  <c r="AX32" i="30" s="1"/>
  <c r="AE29" i="30"/>
  <c r="DR29" i="30" s="1"/>
  <c r="AF29" i="30"/>
  <c r="AI29" i="30"/>
  <c r="AL29" i="30"/>
  <c r="AO32" i="30"/>
  <c r="AP32" i="30"/>
  <c r="AQ32" i="30"/>
  <c r="AR32" i="30"/>
  <c r="AS32" i="30"/>
  <c r="AT32" i="30"/>
  <c r="AU32" i="30"/>
  <c r="AV32" i="30"/>
  <c r="AY32" i="30"/>
  <c r="AZ32" i="30"/>
  <c r="BY32" i="30"/>
  <c r="BZ32" i="30" s="1"/>
  <c r="CA32" i="30"/>
  <c r="CB32" i="30" s="1"/>
  <c r="CC32" i="30"/>
  <c r="CD32" i="30" s="1"/>
  <c r="CE32" i="30"/>
  <c r="CF32" i="30" s="1"/>
  <c r="CG32" i="30"/>
  <c r="CH32" i="30" s="1"/>
  <c r="CI32" i="30"/>
  <c r="CJ32" i="30" s="1"/>
  <c r="CK32" i="30"/>
  <c r="CM32" i="30"/>
  <c r="CN32" i="30" s="1"/>
  <c r="CQ32" i="30"/>
  <c r="CR32" i="30"/>
  <c r="CS32" i="30"/>
  <c r="AM29" i="30" s="1"/>
  <c r="CT32" i="30"/>
  <c r="CU32" i="30"/>
  <c r="CV32" i="30"/>
  <c r="CW32" i="30"/>
  <c r="CX32" i="30"/>
  <c r="CY32" i="30"/>
  <c r="CZ32" i="30"/>
  <c r="DA32" i="30"/>
  <c r="DB32" i="30"/>
  <c r="DC32" i="30"/>
  <c r="DD32" i="30"/>
  <c r="DI32" i="30"/>
  <c r="DK32" i="30"/>
  <c r="DM32" i="30"/>
  <c r="A31" i="30"/>
  <c r="AE31" i="30"/>
  <c r="AF31" i="30"/>
  <c r="AI31" i="30"/>
  <c r="AL31" i="30"/>
  <c r="AO33" i="30"/>
  <c r="AP33" i="30"/>
  <c r="AQ33" i="30"/>
  <c r="AR33" i="30"/>
  <c r="AS33" i="30"/>
  <c r="AT33" i="30"/>
  <c r="AU33" i="30"/>
  <c r="AV33" i="30"/>
  <c r="AX33" i="30"/>
  <c r="DI33" i="30" s="1"/>
  <c r="AY33" i="30"/>
  <c r="AZ33" i="30"/>
  <c r="BC33" i="30"/>
  <c r="BM33" i="30"/>
  <c r="BY33" i="30"/>
  <c r="BZ33" i="30" s="1"/>
  <c r="CA33" i="30"/>
  <c r="CB33" i="30" s="1"/>
  <c r="CC33" i="30"/>
  <c r="CD33" i="30" s="1"/>
  <c r="CE33" i="30"/>
  <c r="CF33" i="30" s="1"/>
  <c r="CG33" i="30"/>
  <c r="CH33" i="30" s="1"/>
  <c r="CI33" i="30"/>
  <c r="CJ33" i="30" s="1"/>
  <c r="CK33" i="30"/>
  <c r="CL33" i="30" s="1"/>
  <c r="CM33" i="30"/>
  <c r="CN33" i="30" s="1"/>
  <c r="CP33" i="30"/>
  <c r="CQ33" i="30"/>
  <c r="AM31" i="30" s="1"/>
  <c r="CR33" i="30"/>
  <c r="CS33" i="30"/>
  <c r="CT33" i="30"/>
  <c r="CU33" i="30"/>
  <c r="CV33" i="30"/>
  <c r="CW33" i="30"/>
  <c r="CX33" i="30"/>
  <c r="CY33" i="30"/>
  <c r="CZ33" i="30"/>
  <c r="DA33" i="30"/>
  <c r="DB33" i="30"/>
  <c r="DC33" i="30"/>
  <c r="DD33" i="30"/>
  <c r="DK33" i="30"/>
  <c r="DM33" i="30"/>
  <c r="DR33" i="30"/>
  <c r="A34" i="30"/>
  <c r="DK34" i="30" s="1"/>
  <c r="AE34" i="30"/>
  <c r="CP34" i="30" s="1"/>
  <c r="AF34" i="30"/>
  <c r="AI34" i="30"/>
  <c r="AL34" i="30"/>
  <c r="AO34" i="30"/>
  <c r="AP34" i="30"/>
  <c r="AQ34" i="30"/>
  <c r="AR34" i="30"/>
  <c r="AS34" i="30"/>
  <c r="AT34" i="30"/>
  <c r="AU34" i="30"/>
  <c r="AV34" i="30"/>
  <c r="AX34" i="30"/>
  <c r="AY34" i="30"/>
  <c r="AZ34" i="30"/>
  <c r="BB34" i="30"/>
  <c r="BL34" i="30"/>
  <c r="BY34" i="30"/>
  <c r="BZ34" i="30" s="1"/>
  <c r="CA34" i="30"/>
  <c r="CB34" i="30" s="1"/>
  <c r="CC34" i="30"/>
  <c r="CD34" i="30" s="1"/>
  <c r="CE34" i="30"/>
  <c r="CF34" i="30" s="1"/>
  <c r="CG34" i="30"/>
  <c r="CH34" i="30" s="1"/>
  <c r="CI34" i="30"/>
  <c r="CJ34" i="30" s="1"/>
  <c r="CK34" i="30"/>
  <c r="CL34" i="30" s="1"/>
  <c r="CM34" i="30"/>
  <c r="CN34" i="30" s="1"/>
  <c r="CQ34" i="30"/>
  <c r="CR34" i="30"/>
  <c r="CS34" i="30"/>
  <c r="CT34" i="30"/>
  <c r="CU34" i="30"/>
  <c r="CV34" i="30"/>
  <c r="CW34" i="30"/>
  <c r="CX34" i="30"/>
  <c r="CY34" i="30"/>
  <c r="CZ34" i="30"/>
  <c r="DA34" i="30"/>
  <c r="DB34" i="30"/>
  <c r="DC34" i="30"/>
  <c r="DD34" i="30"/>
  <c r="DI34" i="30"/>
  <c r="DM34" i="30"/>
  <c r="DR34" i="30"/>
  <c r="A38" i="30"/>
  <c r="AE38" i="30"/>
  <c r="AF38" i="30"/>
  <c r="AI38" i="30"/>
  <c r="AL38" i="30"/>
  <c r="AO35" i="30"/>
  <c r="AP35" i="30"/>
  <c r="AQ35" i="30"/>
  <c r="AR35" i="30"/>
  <c r="AS35" i="30"/>
  <c r="AT35" i="30"/>
  <c r="AU35" i="30"/>
  <c r="AV35" i="30"/>
  <c r="AY35" i="30"/>
  <c r="AZ35" i="30"/>
  <c r="BC35" i="30"/>
  <c r="BV9" i="30" s="1"/>
  <c r="BM35" i="30"/>
  <c r="BV10" i="30" s="1"/>
  <c r="BY35" i="30"/>
  <c r="BZ35" i="30" s="1"/>
  <c r="CA35" i="30"/>
  <c r="CB35" i="30" s="1"/>
  <c r="CC35" i="30"/>
  <c r="CD35" i="30" s="1"/>
  <c r="CE35" i="30"/>
  <c r="CF35" i="30" s="1"/>
  <c r="CG35" i="30"/>
  <c r="CH35" i="30" s="1"/>
  <c r="CI35" i="30"/>
  <c r="CJ35" i="30" s="1"/>
  <c r="CK35" i="30"/>
  <c r="CL35" i="30" s="1"/>
  <c r="CM35" i="30"/>
  <c r="CP35" i="30"/>
  <c r="CQ35" i="30"/>
  <c r="CR35" i="30"/>
  <c r="CS35" i="30"/>
  <c r="CT35" i="30"/>
  <c r="CU35" i="30"/>
  <c r="CV35" i="30"/>
  <c r="CW35" i="30"/>
  <c r="CX35" i="30"/>
  <c r="CY35" i="30"/>
  <c r="CZ35" i="30"/>
  <c r="DA35" i="30"/>
  <c r="DB35" i="30"/>
  <c r="DC35" i="30"/>
  <c r="DD35" i="30"/>
  <c r="DK35" i="30"/>
  <c r="DM35" i="30"/>
  <c r="DR35" i="30"/>
  <c r="A37" i="30"/>
  <c r="AE37" i="30"/>
  <c r="CP37" i="30" s="1"/>
  <c r="AF37" i="30"/>
  <c r="AI37" i="30"/>
  <c r="AL37" i="30"/>
  <c r="AO36" i="30"/>
  <c r="AP36" i="30"/>
  <c r="AQ36" i="30"/>
  <c r="AR36" i="30"/>
  <c r="AS36" i="30"/>
  <c r="AT36" i="30"/>
  <c r="AU36" i="30"/>
  <c r="AV36" i="30"/>
  <c r="AX36" i="30"/>
  <c r="DI36" i="30" s="1"/>
  <c r="AY36" i="30"/>
  <c r="AZ36" i="30"/>
  <c r="BY36" i="30"/>
  <c r="BZ36" i="30" s="1"/>
  <c r="CA36" i="30"/>
  <c r="CB36" i="30" s="1"/>
  <c r="CC36" i="30"/>
  <c r="CD36" i="30" s="1"/>
  <c r="CE36" i="30"/>
  <c r="CF36" i="30" s="1"/>
  <c r="CG36" i="30"/>
  <c r="CH36" i="30" s="1"/>
  <c r="CI36" i="30"/>
  <c r="CJ36" i="30" s="1"/>
  <c r="CK36" i="30"/>
  <c r="CL36" i="30" s="1"/>
  <c r="CM36" i="30"/>
  <c r="CQ36" i="30"/>
  <c r="CR36" i="30"/>
  <c r="CS36" i="30"/>
  <c r="CT36" i="30"/>
  <c r="CU36" i="30"/>
  <c r="CV36" i="30"/>
  <c r="CW36" i="30"/>
  <c r="CX36" i="30"/>
  <c r="CY36" i="30"/>
  <c r="CZ36" i="30"/>
  <c r="DA36" i="30"/>
  <c r="DB36" i="30"/>
  <c r="DC36" i="30"/>
  <c r="DD36" i="30"/>
  <c r="DM36" i="30"/>
  <c r="DR36" i="30"/>
  <c r="A35" i="30"/>
  <c r="AX37" i="30" s="1"/>
  <c r="DI37" i="30" s="1"/>
  <c r="AE35" i="30"/>
  <c r="AF35" i="30"/>
  <c r="AI35" i="30"/>
  <c r="AL35" i="30"/>
  <c r="AO37" i="30"/>
  <c r="AP37" i="30"/>
  <c r="AQ37" i="30"/>
  <c r="AR37" i="30"/>
  <c r="AS37" i="30"/>
  <c r="AT37" i="30"/>
  <c r="AU37" i="30"/>
  <c r="AV37" i="30"/>
  <c r="AY37" i="30"/>
  <c r="AZ37" i="30"/>
  <c r="BY37" i="30"/>
  <c r="BZ37" i="30" s="1"/>
  <c r="CA37" i="30"/>
  <c r="CB37" i="30" s="1"/>
  <c r="CC37" i="30"/>
  <c r="CD37" i="30" s="1"/>
  <c r="CE37" i="30"/>
  <c r="CF37" i="30" s="1"/>
  <c r="CG37" i="30"/>
  <c r="CH37" i="30" s="1"/>
  <c r="CI37" i="30"/>
  <c r="CJ37" i="30" s="1"/>
  <c r="CK37" i="30"/>
  <c r="CL37" i="30" s="1"/>
  <c r="CM37" i="30"/>
  <c r="CQ37" i="30"/>
  <c r="CR37" i="30"/>
  <c r="CS37" i="30"/>
  <c r="CT37" i="30"/>
  <c r="CU37" i="30"/>
  <c r="CV37" i="30"/>
  <c r="CW37" i="30"/>
  <c r="CX37" i="30"/>
  <c r="CY37" i="30"/>
  <c r="CZ37" i="30"/>
  <c r="DA37" i="30"/>
  <c r="DB37" i="30"/>
  <c r="DC37" i="30"/>
  <c r="DD37" i="30"/>
  <c r="DK37" i="30"/>
  <c r="DM37" i="30"/>
  <c r="A36" i="30"/>
  <c r="AX38" i="30" s="1"/>
  <c r="DI38" i="30" s="1"/>
  <c r="AE36" i="30"/>
  <c r="DR38" i="30" s="1"/>
  <c r="AF36" i="30"/>
  <c r="AI36" i="30"/>
  <c r="AL36" i="30"/>
  <c r="AO38" i="30"/>
  <c r="AP38" i="30"/>
  <c r="AQ38" i="30"/>
  <c r="AR38" i="30"/>
  <c r="AS38" i="30"/>
  <c r="AT38" i="30"/>
  <c r="AU38" i="30"/>
  <c r="AV38" i="30"/>
  <c r="AY38" i="30"/>
  <c r="AZ38" i="30"/>
  <c r="BY38" i="30"/>
  <c r="BZ38" i="30" s="1"/>
  <c r="CA38" i="30"/>
  <c r="CB38" i="30" s="1"/>
  <c r="CC38" i="30"/>
  <c r="CD38" i="30" s="1"/>
  <c r="CE38" i="30"/>
  <c r="CF38" i="30" s="1"/>
  <c r="CG38" i="30"/>
  <c r="CH38" i="30" s="1"/>
  <c r="CI38" i="30"/>
  <c r="CJ38" i="30" s="1"/>
  <c r="CK38" i="30"/>
  <c r="CL38" i="30" s="1"/>
  <c r="CM38" i="30"/>
  <c r="CP38" i="30"/>
  <c r="CQ38" i="30"/>
  <c r="CR38" i="30"/>
  <c r="CS38" i="30"/>
  <c r="CT38" i="30"/>
  <c r="CU38" i="30"/>
  <c r="CV38" i="30"/>
  <c r="CW38" i="30"/>
  <c r="CX38" i="30"/>
  <c r="CY38" i="30"/>
  <c r="CZ38" i="30"/>
  <c r="DA38" i="30"/>
  <c r="DB38" i="30"/>
  <c r="DC38" i="30"/>
  <c r="DD38" i="30"/>
  <c r="DK38" i="30"/>
  <c r="DM38" i="30"/>
  <c r="A39" i="30"/>
  <c r="AX39" i="30" s="1"/>
  <c r="DI39" i="30" s="1"/>
  <c r="AE39" i="30"/>
  <c r="DR39" i="30" s="1"/>
  <c r="AF39" i="30"/>
  <c r="AI39" i="30"/>
  <c r="AL39" i="30"/>
  <c r="AO39" i="30"/>
  <c r="AP39" i="30"/>
  <c r="AQ39" i="30"/>
  <c r="AR39" i="30"/>
  <c r="AS39" i="30"/>
  <c r="AT39" i="30"/>
  <c r="AU39" i="30"/>
  <c r="AV39" i="30"/>
  <c r="AY39" i="30"/>
  <c r="AZ39" i="30"/>
  <c r="BY39" i="30"/>
  <c r="BZ39" i="30" s="1"/>
  <c r="CA39" i="30"/>
  <c r="CB39" i="30" s="1"/>
  <c r="CC39" i="30"/>
  <c r="CD39" i="30" s="1"/>
  <c r="CE39" i="30"/>
  <c r="CF39" i="30" s="1"/>
  <c r="CG39" i="30"/>
  <c r="CH39" i="30" s="1"/>
  <c r="CI39" i="30"/>
  <c r="CJ39" i="30" s="1"/>
  <c r="CK39" i="30"/>
  <c r="CL39" i="30" s="1"/>
  <c r="CM39" i="30"/>
  <c r="CN39" i="30" s="1"/>
  <c r="CP39" i="30"/>
  <c r="CQ39" i="30"/>
  <c r="CR39" i="30"/>
  <c r="CS39" i="30"/>
  <c r="CT39" i="30"/>
  <c r="CU39" i="30"/>
  <c r="CV39" i="30"/>
  <c r="CW39" i="30"/>
  <c r="CX39" i="30"/>
  <c r="CY39" i="30"/>
  <c r="CZ39" i="30"/>
  <c r="DA39" i="30"/>
  <c r="DB39" i="30"/>
  <c r="DC39" i="30"/>
  <c r="DD39" i="30"/>
  <c r="DK39" i="30"/>
  <c r="DM39" i="30"/>
  <c r="A40" i="30"/>
  <c r="AX40" i="30" s="1"/>
  <c r="DI40" i="30" s="1"/>
  <c r="AE40" i="30"/>
  <c r="DR40" i="30" s="1"/>
  <c r="AF40" i="30"/>
  <c r="AI40" i="30"/>
  <c r="AL40" i="30"/>
  <c r="AO40" i="30"/>
  <c r="AP40" i="30"/>
  <c r="AQ40" i="30"/>
  <c r="AR40" i="30"/>
  <c r="AS40" i="30"/>
  <c r="AT40" i="30"/>
  <c r="AU40" i="30"/>
  <c r="AV40" i="30"/>
  <c r="AY40" i="30"/>
  <c r="AZ40" i="30"/>
  <c r="BY40" i="30"/>
  <c r="BZ40" i="30" s="1"/>
  <c r="CA40" i="30"/>
  <c r="CB40" i="30" s="1"/>
  <c r="CC40" i="30"/>
  <c r="CD40" i="30" s="1"/>
  <c r="CE40" i="30"/>
  <c r="CF40" i="30" s="1"/>
  <c r="CG40" i="30"/>
  <c r="CH40" i="30" s="1"/>
  <c r="CI40" i="30"/>
  <c r="CJ40" i="30" s="1"/>
  <c r="CK40" i="30"/>
  <c r="CM40" i="30"/>
  <c r="CN40" i="30" s="1"/>
  <c r="CP40" i="30"/>
  <c r="CQ40" i="30"/>
  <c r="CR40" i="30"/>
  <c r="CS40" i="30"/>
  <c r="CT40" i="30"/>
  <c r="CU40" i="30"/>
  <c r="CV40" i="30"/>
  <c r="CW40" i="30"/>
  <c r="CX40" i="30"/>
  <c r="CY40" i="30"/>
  <c r="CZ40" i="30"/>
  <c r="DA40" i="30"/>
  <c r="DB40" i="30"/>
  <c r="DC40" i="30"/>
  <c r="DD40" i="30"/>
  <c r="DK40" i="30"/>
  <c r="DM40" i="30"/>
  <c r="A41" i="30"/>
  <c r="AX41" i="30" s="1"/>
  <c r="AE41" i="30"/>
  <c r="DR41" i="30" s="1"/>
  <c r="AF41" i="30"/>
  <c r="AI41" i="30"/>
  <c r="AL41" i="30"/>
  <c r="AO41" i="30"/>
  <c r="AP41" i="30"/>
  <c r="AQ41" i="30"/>
  <c r="AR41" i="30"/>
  <c r="AS41" i="30"/>
  <c r="AT41" i="30"/>
  <c r="AU41" i="30"/>
  <c r="AV41" i="30"/>
  <c r="AY41" i="30"/>
  <c r="AZ41" i="30"/>
  <c r="BY41" i="30"/>
  <c r="CA41" i="30"/>
  <c r="CB41" i="30" s="1"/>
  <c r="CC41" i="30"/>
  <c r="CD41" i="30" s="1"/>
  <c r="CE41" i="30"/>
  <c r="CF41" i="30" s="1"/>
  <c r="CG41" i="30"/>
  <c r="CH41" i="30" s="1"/>
  <c r="CI41" i="30"/>
  <c r="CJ41" i="30" s="1"/>
  <c r="CK41" i="30"/>
  <c r="CL41" i="30" s="1"/>
  <c r="CM41" i="30"/>
  <c r="CN41" i="30" s="1"/>
  <c r="CP41" i="30"/>
  <c r="CQ41" i="30"/>
  <c r="CR41" i="30"/>
  <c r="CS41" i="30"/>
  <c r="CT41" i="30"/>
  <c r="CU41" i="30"/>
  <c r="CV41" i="30"/>
  <c r="CW41" i="30"/>
  <c r="CX41" i="30"/>
  <c r="CY41" i="30"/>
  <c r="CZ41" i="30"/>
  <c r="DA41" i="30"/>
  <c r="DB41" i="30"/>
  <c r="DC41" i="30"/>
  <c r="DD41" i="30"/>
  <c r="DI41" i="30"/>
  <c r="DM41" i="30"/>
  <c r="A42" i="30"/>
  <c r="AX42" i="30" s="1"/>
  <c r="DI42" i="30" s="1"/>
  <c r="AE42" i="30"/>
  <c r="DR42" i="30" s="1"/>
  <c r="AF42" i="30"/>
  <c r="AI42" i="30"/>
  <c r="AL42" i="30"/>
  <c r="AO42" i="30"/>
  <c r="AP42" i="30"/>
  <c r="AQ42" i="30"/>
  <c r="AR42" i="30"/>
  <c r="AS42" i="30"/>
  <c r="AT42" i="30"/>
  <c r="AU42" i="30"/>
  <c r="AV42" i="30"/>
  <c r="AY42" i="30"/>
  <c r="AZ42" i="30"/>
  <c r="BY42" i="30"/>
  <c r="BZ42" i="30" s="1"/>
  <c r="CA42" i="30"/>
  <c r="CB42" i="30" s="1"/>
  <c r="CC42" i="30"/>
  <c r="CD42" i="30" s="1"/>
  <c r="CE42" i="30"/>
  <c r="CF42" i="30" s="1"/>
  <c r="CG42" i="30"/>
  <c r="CH42" i="30" s="1"/>
  <c r="CI42" i="30"/>
  <c r="CJ42" i="30" s="1"/>
  <c r="CK42" i="30"/>
  <c r="CM42" i="30"/>
  <c r="CN42" i="30" s="1"/>
  <c r="CP42" i="30"/>
  <c r="CQ42" i="30"/>
  <c r="CR42" i="30"/>
  <c r="CS42" i="30"/>
  <c r="CT42" i="30"/>
  <c r="CU42" i="30"/>
  <c r="CV42" i="30"/>
  <c r="CW42" i="30"/>
  <c r="CX42" i="30"/>
  <c r="CY42" i="30"/>
  <c r="CZ42" i="30"/>
  <c r="DA42" i="30"/>
  <c r="DB42" i="30"/>
  <c r="DC42" i="30"/>
  <c r="DD42" i="30"/>
  <c r="DM42" i="30"/>
  <c r="A43" i="30"/>
  <c r="AX43" i="30" s="1"/>
  <c r="AE43" i="30"/>
  <c r="DR43" i="30" s="1"/>
  <c r="AF43" i="30"/>
  <c r="AI43" i="30"/>
  <c r="AL43" i="30"/>
  <c r="AO43" i="30"/>
  <c r="AP43" i="30"/>
  <c r="AQ43" i="30"/>
  <c r="AR43" i="30"/>
  <c r="AS43" i="30"/>
  <c r="AT43" i="30"/>
  <c r="AU43" i="30"/>
  <c r="AV43" i="30"/>
  <c r="AY43" i="30"/>
  <c r="AZ43" i="30"/>
  <c r="BY43" i="30"/>
  <c r="BZ43" i="30" s="1"/>
  <c r="CA43" i="30"/>
  <c r="CB43" i="30" s="1"/>
  <c r="CC43" i="30"/>
  <c r="CD43" i="30" s="1"/>
  <c r="CE43" i="30"/>
  <c r="CF43" i="30" s="1"/>
  <c r="CG43" i="30"/>
  <c r="CH43" i="30" s="1"/>
  <c r="CI43" i="30"/>
  <c r="CJ43" i="30" s="1"/>
  <c r="CK43" i="30"/>
  <c r="CM43" i="30"/>
  <c r="CN43" i="30" s="1"/>
  <c r="CQ43" i="30"/>
  <c r="AM43" i="30" s="1"/>
  <c r="CR43" i="30"/>
  <c r="CS43" i="30"/>
  <c r="CT43" i="30"/>
  <c r="CU43" i="30"/>
  <c r="CV43" i="30"/>
  <c r="CW43" i="30"/>
  <c r="CX43" i="30"/>
  <c r="CY43" i="30"/>
  <c r="CZ43" i="30"/>
  <c r="DA43" i="30"/>
  <c r="DB43" i="30"/>
  <c r="DC43" i="30"/>
  <c r="DD43" i="30"/>
  <c r="DI43" i="30"/>
  <c r="DK43" i="30"/>
  <c r="DM43" i="30"/>
  <c r="A44" i="30"/>
  <c r="B44" i="30"/>
  <c r="AE44" i="30"/>
  <c r="CP44" i="30" s="1"/>
  <c r="AF44" i="30"/>
  <c r="AI44" i="30"/>
  <c r="AL44" i="30"/>
  <c r="AO44" i="30"/>
  <c r="AP44" i="30"/>
  <c r="AQ44" i="30"/>
  <c r="AR44" i="30"/>
  <c r="AS44" i="30"/>
  <c r="AT44" i="30"/>
  <c r="AU44" i="30"/>
  <c r="AV44" i="30"/>
  <c r="AX44" i="30"/>
  <c r="DI44" i="30" s="1"/>
  <c r="AY44" i="30"/>
  <c r="AZ44" i="30"/>
  <c r="BY44" i="30"/>
  <c r="BZ44" i="30" s="1"/>
  <c r="CA44" i="30"/>
  <c r="CB44" i="30" s="1"/>
  <c r="CC44" i="30"/>
  <c r="CD44" i="30" s="1"/>
  <c r="CE44" i="30"/>
  <c r="CF44" i="30" s="1"/>
  <c r="CG44" i="30"/>
  <c r="CH44" i="30" s="1"/>
  <c r="CI44" i="30"/>
  <c r="CJ44" i="30" s="1"/>
  <c r="CK44" i="30"/>
  <c r="CL44" i="30" s="1"/>
  <c r="CM44" i="30"/>
  <c r="CN44" i="30" s="1"/>
  <c r="CQ44" i="30"/>
  <c r="CR44" i="30"/>
  <c r="CS44" i="30"/>
  <c r="CT44" i="30"/>
  <c r="CU44" i="30"/>
  <c r="CV44" i="30"/>
  <c r="CW44" i="30"/>
  <c r="CX44" i="30"/>
  <c r="CY44" i="30"/>
  <c r="CZ44" i="30"/>
  <c r="DA44" i="30"/>
  <c r="DB44" i="30"/>
  <c r="DC44" i="30"/>
  <c r="DD44" i="30"/>
  <c r="DE44" i="30"/>
  <c r="DK44" i="30"/>
  <c r="DM44" i="30"/>
  <c r="DR44" i="30"/>
  <c r="A45" i="30"/>
  <c r="AX45" i="30" s="1"/>
  <c r="DI45" i="30" s="1"/>
  <c r="B45" i="30"/>
  <c r="AE45" i="30" s="1"/>
  <c r="CP45" i="30" s="1"/>
  <c r="AF45" i="30"/>
  <c r="AI45" i="30"/>
  <c r="AL45" i="30"/>
  <c r="AP45" i="30"/>
  <c r="AQ45" i="30"/>
  <c r="AR45" i="30"/>
  <c r="AS45" i="30"/>
  <c r="AT45" i="30"/>
  <c r="AU45" i="30"/>
  <c r="AV45" i="30"/>
  <c r="AY45" i="30"/>
  <c r="AZ45" i="30"/>
  <c r="BY45" i="30"/>
  <c r="BZ45" i="30" s="1"/>
  <c r="CA45" i="30"/>
  <c r="CB45" i="30" s="1"/>
  <c r="CC45" i="30"/>
  <c r="CD45" i="30" s="1"/>
  <c r="CE45" i="30"/>
  <c r="CF45" i="30" s="1"/>
  <c r="CG45" i="30"/>
  <c r="CH45" i="30" s="1"/>
  <c r="CI45" i="30"/>
  <c r="CJ45" i="30" s="1"/>
  <c r="CK45" i="30"/>
  <c r="CL45" i="30" s="1"/>
  <c r="CM45" i="30"/>
  <c r="CN45" i="30" s="1"/>
  <c r="CQ45" i="30"/>
  <c r="CR45" i="30"/>
  <c r="CS45" i="30"/>
  <c r="CT45" i="30"/>
  <c r="CU45" i="30"/>
  <c r="CV45" i="30"/>
  <c r="CW45" i="30"/>
  <c r="CX45" i="30"/>
  <c r="CY45" i="30"/>
  <c r="CZ45" i="30"/>
  <c r="DA45" i="30"/>
  <c r="DB45" i="30"/>
  <c r="DC45" i="30"/>
  <c r="DD45" i="30"/>
  <c r="DM45" i="30"/>
  <c r="DR45" i="30"/>
  <c r="A46" i="30"/>
  <c r="B46" i="30" s="1"/>
  <c r="AE46" i="30"/>
  <c r="AF46" i="30"/>
  <c r="AI46" i="30"/>
  <c r="AL46" i="30"/>
  <c r="AO46" i="30"/>
  <c r="AP46" i="30"/>
  <c r="AQ46" i="30"/>
  <c r="AR46" i="30"/>
  <c r="AS46" i="30"/>
  <c r="AT46" i="30"/>
  <c r="AU46" i="30"/>
  <c r="AV46" i="30"/>
  <c r="AX46" i="30"/>
  <c r="DI46" i="30" s="1"/>
  <c r="AY46" i="30"/>
  <c r="AZ46" i="30"/>
  <c r="BY46" i="30"/>
  <c r="BZ46" i="30" s="1"/>
  <c r="CA46" i="30"/>
  <c r="CB46" i="30" s="1"/>
  <c r="CC46" i="30"/>
  <c r="CD46" i="30" s="1"/>
  <c r="CE46" i="30"/>
  <c r="CF46" i="30" s="1"/>
  <c r="CG46" i="30"/>
  <c r="CH46" i="30" s="1"/>
  <c r="CI46" i="30"/>
  <c r="CJ46" i="30" s="1"/>
  <c r="CK46" i="30"/>
  <c r="CL46" i="30" s="1"/>
  <c r="CM46" i="30"/>
  <c r="CN46" i="30" s="1"/>
  <c r="CP46" i="30"/>
  <c r="CQ46" i="30"/>
  <c r="CR46" i="30"/>
  <c r="CS46" i="30"/>
  <c r="CT46" i="30"/>
  <c r="CU46" i="30"/>
  <c r="CV46" i="30"/>
  <c r="CW46" i="30"/>
  <c r="CX46" i="30"/>
  <c r="CY46" i="30"/>
  <c r="CZ46" i="30"/>
  <c r="DA46" i="30"/>
  <c r="DB46" i="30"/>
  <c r="DC46" i="30"/>
  <c r="DD46" i="30"/>
  <c r="DK46" i="30"/>
  <c r="DM46" i="30"/>
  <c r="DR46" i="30"/>
  <c r="A47" i="30"/>
  <c r="DK47" i="30" s="1"/>
  <c r="B47" i="30"/>
  <c r="AO47" i="30" s="1"/>
  <c r="AF47" i="30"/>
  <c r="AI47" i="30"/>
  <c r="AL47" i="30"/>
  <c r="AP47" i="30"/>
  <c r="AQ47" i="30"/>
  <c r="AR47" i="30"/>
  <c r="AS47" i="30"/>
  <c r="AT47" i="30"/>
  <c r="AU47" i="30"/>
  <c r="AV47" i="30"/>
  <c r="AX47" i="30"/>
  <c r="AY47" i="30"/>
  <c r="AZ47" i="30"/>
  <c r="BY47" i="30"/>
  <c r="BZ47" i="30" s="1"/>
  <c r="CA47" i="30"/>
  <c r="CB47" i="30" s="1"/>
  <c r="CC47" i="30"/>
  <c r="CD47" i="30" s="1"/>
  <c r="CE47" i="30"/>
  <c r="CF47" i="30" s="1"/>
  <c r="CG47" i="30"/>
  <c r="CH47" i="30" s="1"/>
  <c r="CI47" i="30"/>
  <c r="CJ47" i="30" s="1"/>
  <c r="CK47" i="30"/>
  <c r="CL47" i="30" s="1"/>
  <c r="CM47" i="30"/>
  <c r="CN47" i="30" s="1"/>
  <c r="CQ47" i="30"/>
  <c r="CR47" i="30"/>
  <c r="CS47" i="30"/>
  <c r="CT47" i="30"/>
  <c r="CU47" i="30"/>
  <c r="CV47" i="30"/>
  <c r="CW47" i="30"/>
  <c r="CX47" i="30"/>
  <c r="CY47" i="30"/>
  <c r="CZ47" i="30"/>
  <c r="DA47" i="30"/>
  <c r="DB47" i="30"/>
  <c r="DC47" i="30"/>
  <c r="DD47" i="30"/>
  <c r="DI47" i="30"/>
  <c r="DE47" i="30" s="1"/>
  <c r="DM47" i="30"/>
  <c r="DR47" i="30"/>
  <c r="A48" i="30"/>
  <c r="B48" i="30"/>
  <c r="AO48" i="30" s="1"/>
  <c r="AE48" i="30"/>
  <c r="CP48" i="30" s="1"/>
  <c r="AF48" i="30"/>
  <c r="AI48" i="30"/>
  <c r="AL48" i="30"/>
  <c r="AP48" i="30"/>
  <c r="AQ48" i="30"/>
  <c r="AR48" i="30"/>
  <c r="AS48" i="30"/>
  <c r="AT48" i="30"/>
  <c r="AU48" i="30"/>
  <c r="AV48" i="30"/>
  <c r="AX48" i="30"/>
  <c r="AY48" i="30"/>
  <c r="AZ48" i="30"/>
  <c r="BY48" i="30"/>
  <c r="BZ48" i="30" s="1"/>
  <c r="CA48" i="30"/>
  <c r="CB48" i="30" s="1"/>
  <c r="CC48" i="30"/>
  <c r="CD48" i="30" s="1"/>
  <c r="CE48" i="30"/>
  <c r="CF48" i="30" s="1"/>
  <c r="CG48" i="30"/>
  <c r="CH48" i="30" s="1"/>
  <c r="CI48" i="30"/>
  <c r="CJ48" i="30" s="1"/>
  <c r="CK48" i="30"/>
  <c r="CL48" i="30" s="1"/>
  <c r="CM48" i="30"/>
  <c r="CN48" i="30" s="1"/>
  <c r="CQ48" i="30"/>
  <c r="CR48" i="30"/>
  <c r="CS48" i="30"/>
  <c r="CT48" i="30"/>
  <c r="CU48" i="30"/>
  <c r="CV48" i="30"/>
  <c r="CW48" i="30"/>
  <c r="CX48" i="30"/>
  <c r="CY48" i="30"/>
  <c r="CZ48" i="30"/>
  <c r="DA48" i="30"/>
  <c r="DB48" i="30"/>
  <c r="DC48" i="30"/>
  <c r="DD48" i="30"/>
  <c r="DE48" i="30"/>
  <c r="DI48" i="30"/>
  <c r="DK48" i="30"/>
  <c r="DM48" i="30"/>
  <c r="DR48" i="30"/>
  <c r="A49" i="30"/>
  <c r="B49" i="30"/>
  <c r="AO49" i="30" s="1"/>
  <c r="AE49" i="30"/>
  <c r="AF49" i="30"/>
  <c r="AI49" i="30"/>
  <c r="AL49" i="30"/>
  <c r="AP49" i="30"/>
  <c r="AQ49" i="30"/>
  <c r="AR49" i="30"/>
  <c r="AS49" i="30"/>
  <c r="AT49" i="30"/>
  <c r="AU49" i="30"/>
  <c r="AV49" i="30"/>
  <c r="AX49" i="30"/>
  <c r="AY49" i="30"/>
  <c r="AZ49" i="30"/>
  <c r="BY49" i="30"/>
  <c r="BZ49" i="30" s="1"/>
  <c r="CA49" i="30"/>
  <c r="CB49" i="30" s="1"/>
  <c r="CC49" i="30"/>
  <c r="CD49" i="30" s="1"/>
  <c r="CE49" i="30"/>
  <c r="CF49" i="30" s="1"/>
  <c r="CG49" i="30"/>
  <c r="CH49" i="30" s="1"/>
  <c r="CI49" i="30"/>
  <c r="CJ49" i="30" s="1"/>
  <c r="CK49" i="30"/>
  <c r="CL49" i="30" s="1"/>
  <c r="CM49" i="30"/>
  <c r="CN49" i="30" s="1"/>
  <c r="CP49" i="30"/>
  <c r="CQ49" i="30"/>
  <c r="CR49" i="30"/>
  <c r="CS49" i="30"/>
  <c r="CT49" i="30"/>
  <c r="CU49" i="30"/>
  <c r="CV49" i="30"/>
  <c r="CW49" i="30"/>
  <c r="CX49" i="30"/>
  <c r="CY49" i="30"/>
  <c r="CZ49" i="30"/>
  <c r="DA49" i="30"/>
  <c r="DB49" i="30"/>
  <c r="DC49" i="30"/>
  <c r="DD49" i="30"/>
  <c r="DE49" i="30"/>
  <c r="DI49" i="30"/>
  <c r="DK49" i="30"/>
  <c r="DM49" i="30"/>
  <c r="DR49" i="30"/>
  <c r="A50" i="30"/>
  <c r="DK50" i="30" s="1"/>
  <c r="AF50" i="30"/>
  <c r="AI50" i="30"/>
  <c r="AL50" i="30"/>
  <c r="AP50" i="30"/>
  <c r="AQ50" i="30"/>
  <c r="AR50" i="30"/>
  <c r="AS50" i="30"/>
  <c r="AT50" i="30"/>
  <c r="AU50" i="30"/>
  <c r="AV50" i="30"/>
  <c r="AX50" i="30"/>
  <c r="DI50" i="30" s="1"/>
  <c r="AY50" i="30"/>
  <c r="AZ50" i="30"/>
  <c r="BY50" i="30"/>
  <c r="BZ50" i="30" s="1"/>
  <c r="CA50" i="30"/>
  <c r="CB50" i="30" s="1"/>
  <c r="CC50" i="30"/>
  <c r="CD50" i="30" s="1"/>
  <c r="CE50" i="30"/>
  <c r="CF50" i="30" s="1"/>
  <c r="CG50" i="30"/>
  <c r="CH50" i="30" s="1"/>
  <c r="CI50" i="30"/>
  <c r="CJ50" i="30" s="1"/>
  <c r="CK50" i="30"/>
  <c r="CL50" i="30" s="1"/>
  <c r="CM50" i="30"/>
  <c r="CN50" i="30" s="1"/>
  <c r="CQ50" i="30"/>
  <c r="CR50" i="30"/>
  <c r="CS50" i="30"/>
  <c r="CT50" i="30"/>
  <c r="CU50" i="30"/>
  <c r="CV50" i="30"/>
  <c r="CW50" i="30"/>
  <c r="CX50" i="30"/>
  <c r="CY50" i="30"/>
  <c r="CZ50" i="30"/>
  <c r="DA50" i="30"/>
  <c r="DB50" i="30"/>
  <c r="DC50" i="30"/>
  <c r="DD50" i="30"/>
  <c r="DM50" i="30"/>
  <c r="DR50" i="30"/>
  <c r="A51" i="30"/>
  <c r="DK51" i="30" s="1"/>
  <c r="B51" i="30"/>
  <c r="AO51" i="30" s="1"/>
  <c r="AF51" i="30"/>
  <c r="AI51" i="30"/>
  <c r="AL51" i="30"/>
  <c r="AP51" i="30"/>
  <c r="AQ51" i="30"/>
  <c r="AR51" i="30"/>
  <c r="AS51" i="30"/>
  <c r="AT51" i="30"/>
  <c r="AU51" i="30"/>
  <c r="AV51" i="30"/>
  <c r="AX51" i="30"/>
  <c r="AY51" i="30"/>
  <c r="AZ51" i="30"/>
  <c r="BY51" i="30"/>
  <c r="BZ51" i="30" s="1"/>
  <c r="CA51" i="30"/>
  <c r="CB51" i="30" s="1"/>
  <c r="CC51" i="30"/>
  <c r="CD51" i="30" s="1"/>
  <c r="CE51" i="30"/>
  <c r="CF51" i="30" s="1"/>
  <c r="CG51" i="30"/>
  <c r="CH51" i="30" s="1"/>
  <c r="CI51" i="30"/>
  <c r="CJ51" i="30" s="1"/>
  <c r="CK51" i="30"/>
  <c r="CL51" i="30" s="1"/>
  <c r="CM51" i="30"/>
  <c r="CN51" i="30" s="1"/>
  <c r="CQ51" i="30"/>
  <c r="CR51" i="30"/>
  <c r="CS51" i="30"/>
  <c r="CT51" i="30"/>
  <c r="CU51" i="30"/>
  <c r="CV51" i="30"/>
  <c r="CW51" i="30"/>
  <c r="CX51" i="30"/>
  <c r="CY51" i="30"/>
  <c r="CZ51" i="30"/>
  <c r="DA51" i="30"/>
  <c r="DB51" i="30"/>
  <c r="DC51" i="30"/>
  <c r="DD51" i="30"/>
  <c r="DI51" i="30"/>
  <c r="DE51" i="30" s="1"/>
  <c r="DM51" i="30"/>
  <c r="DR51" i="30"/>
  <c r="A52" i="30"/>
  <c r="B52" i="30"/>
  <c r="AO52" i="30" s="1"/>
  <c r="AE52" i="30"/>
  <c r="CP52" i="30" s="1"/>
  <c r="AF52" i="30"/>
  <c r="AI52" i="30"/>
  <c r="AL52" i="30"/>
  <c r="AP52" i="30"/>
  <c r="AQ52" i="30"/>
  <c r="AR52" i="30"/>
  <c r="AS52" i="30"/>
  <c r="AT52" i="30"/>
  <c r="AU52" i="30"/>
  <c r="AV52" i="30"/>
  <c r="AX52" i="30"/>
  <c r="AY52" i="30"/>
  <c r="AZ52" i="30"/>
  <c r="BY52" i="30"/>
  <c r="BZ52" i="30" s="1"/>
  <c r="CA52" i="30"/>
  <c r="CB52" i="30" s="1"/>
  <c r="CC52" i="30"/>
  <c r="CD52" i="30" s="1"/>
  <c r="CE52" i="30"/>
  <c r="CF52" i="30" s="1"/>
  <c r="CG52" i="30"/>
  <c r="CH52" i="30" s="1"/>
  <c r="CI52" i="30"/>
  <c r="CJ52" i="30" s="1"/>
  <c r="CK52" i="30"/>
  <c r="CL52" i="30" s="1"/>
  <c r="CM52" i="30"/>
  <c r="CN52" i="30" s="1"/>
  <c r="CQ52" i="30"/>
  <c r="CR52" i="30"/>
  <c r="CS52" i="30"/>
  <c r="CT52" i="30"/>
  <c r="CU52" i="30"/>
  <c r="CV52" i="30"/>
  <c r="CW52" i="30"/>
  <c r="CX52" i="30"/>
  <c r="CY52" i="30"/>
  <c r="CZ52" i="30"/>
  <c r="DA52" i="30"/>
  <c r="DB52" i="30"/>
  <c r="DC52" i="30"/>
  <c r="DD52" i="30"/>
  <c r="DE52" i="30"/>
  <c r="DI52" i="30"/>
  <c r="DK52" i="30"/>
  <c r="DM52" i="30"/>
  <c r="DR52" i="30"/>
  <c r="A53" i="30"/>
  <c r="B53" i="30"/>
  <c r="AO53" i="30" s="1"/>
  <c r="AE53" i="30"/>
  <c r="AF53" i="30"/>
  <c r="AI53" i="30"/>
  <c r="AL53" i="30"/>
  <c r="AP53" i="30"/>
  <c r="AQ53" i="30"/>
  <c r="AR53" i="30"/>
  <c r="AS53" i="30"/>
  <c r="AT53" i="30"/>
  <c r="AU53" i="30"/>
  <c r="AV53" i="30"/>
  <c r="AX53" i="30"/>
  <c r="AY53" i="30"/>
  <c r="AZ53" i="30"/>
  <c r="BY53" i="30"/>
  <c r="BZ53" i="30" s="1"/>
  <c r="CA53" i="30"/>
  <c r="CB53" i="30" s="1"/>
  <c r="CC53" i="30"/>
  <c r="CD53" i="30" s="1"/>
  <c r="CE53" i="30"/>
  <c r="CF53" i="30" s="1"/>
  <c r="CG53" i="30"/>
  <c r="CH53" i="30" s="1"/>
  <c r="CI53" i="30"/>
  <c r="CJ53" i="30" s="1"/>
  <c r="CK53" i="30"/>
  <c r="CL53" i="30" s="1"/>
  <c r="CM53" i="30"/>
  <c r="CN53" i="30" s="1"/>
  <c r="CP53" i="30"/>
  <c r="CQ53" i="30"/>
  <c r="CR53" i="30"/>
  <c r="CS53" i="30"/>
  <c r="CT53" i="30"/>
  <c r="CU53" i="30"/>
  <c r="CV53" i="30"/>
  <c r="CW53" i="30"/>
  <c r="CX53" i="30"/>
  <c r="CY53" i="30"/>
  <c r="CZ53" i="30"/>
  <c r="DA53" i="30"/>
  <c r="DB53" i="30"/>
  <c r="DC53" i="30"/>
  <c r="DD53" i="30"/>
  <c r="DE53" i="30"/>
  <c r="DI53" i="30"/>
  <c r="DK53" i="30"/>
  <c r="DM53" i="30"/>
  <c r="DR53" i="30"/>
  <c r="A54" i="30"/>
  <c r="DK54" i="30" s="1"/>
  <c r="AF54" i="30"/>
  <c r="AI54" i="30"/>
  <c r="AL54" i="30"/>
  <c r="AP54" i="30"/>
  <c r="AQ54" i="30"/>
  <c r="AR54" i="30"/>
  <c r="AS54" i="30"/>
  <c r="AT54" i="30"/>
  <c r="AU54" i="30"/>
  <c r="AV54" i="30"/>
  <c r="AX54" i="30"/>
  <c r="DI54" i="30" s="1"/>
  <c r="AY54" i="30"/>
  <c r="AZ54" i="30"/>
  <c r="BY54" i="30"/>
  <c r="BZ54" i="30" s="1"/>
  <c r="CA54" i="30"/>
  <c r="CB54" i="30" s="1"/>
  <c r="CC54" i="30"/>
  <c r="CD54" i="30" s="1"/>
  <c r="CE54" i="30"/>
  <c r="CF54" i="30" s="1"/>
  <c r="CG54" i="30"/>
  <c r="CH54" i="30" s="1"/>
  <c r="CI54" i="30"/>
  <c r="CJ54" i="30" s="1"/>
  <c r="CK54" i="30"/>
  <c r="CL54" i="30" s="1"/>
  <c r="CM54" i="30"/>
  <c r="CN54" i="30" s="1"/>
  <c r="CQ54" i="30"/>
  <c r="CR54" i="30"/>
  <c r="CS54" i="30"/>
  <c r="CT54" i="30"/>
  <c r="CU54" i="30"/>
  <c r="CV54" i="30"/>
  <c r="CW54" i="30"/>
  <c r="CX54" i="30"/>
  <c r="CY54" i="30"/>
  <c r="CZ54" i="30"/>
  <c r="DA54" i="30"/>
  <c r="DB54" i="30"/>
  <c r="DC54" i="30"/>
  <c r="DD54" i="30"/>
  <c r="DM54" i="30"/>
  <c r="DR54" i="30"/>
  <c r="A55" i="30"/>
  <c r="DK55" i="30" s="1"/>
  <c r="B55" i="30"/>
  <c r="AO55" i="30" s="1"/>
  <c r="AF55" i="30"/>
  <c r="AI55" i="30"/>
  <c r="AL55" i="30"/>
  <c r="AP55" i="30"/>
  <c r="AQ55" i="30"/>
  <c r="AR55" i="30"/>
  <c r="AS55" i="30"/>
  <c r="AT55" i="30"/>
  <c r="AU55" i="30"/>
  <c r="AV55" i="30"/>
  <c r="AX55" i="30"/>
  <c r="AY55" i="30"/>
  <c r="AZ55" i="30"/>
  <c r="BY55" i="30"/>
  <c r="BZ55" i="30" s="1"/>
  <c r="CA55" i="30"/>
  <c r="CB55" i="30" s="1"/>
  <c r="CC55" i="30"/>
  <c r="CD55" i="30" s="1"/>
  <c r="CE55" i="30"/>
  <c r="CF55" i="30" s="1"/>
  <c r="CG55" i="30"/>
  <c r="CH55" i="30" s="1"/>
  <c r="CI55" i="30"/>
  <c r="CJ55" i="30" s="1"/>
  <c r="CK55" i="30"/>
  <c r="CL55" i="30" s="1"/>
  <c r="CM55" i="30"/>
  <c r="CN55" i="30" s="1"/>
  <c r="CQ55" i="30"/>
  <c r="CR55" i="30"/>
  <c r="CS55" i="30"/>
  <c r="CT55" i="30"/>
  <c r="CU55" i="30"/>
  <c r="CV55" i="30"/>
  <c r="CW55" i="30"/>
  <c r="CX55" i="30"/>
  <c r="CY55" i="30"/>
  <c r="CZ55" i="30"/>
  <c r="DA55" i="30"/>
  <c r="DB55" i="30"/>
  <c r="DC55" i="30"/>
  <c r="DD55" i="30"/>
  <c r="DI55" i="30"/>
  <c r="DE55" i="30" s="1"/>
  <c r="DM55" i="30"/>
  <c r="DR55" i="30"/>
  <c r="A56" i="30"/>
  <c r="DK56" i="30" s="1"/>
  <c r="B56" i="30"/>
  <c r="AO56" i="30" s="1"/>
  <c r="AE56" i="30"/>
  <c r="CP56" i="30" s="1"/>
  <c r="AF56" i="30"/>
  <c r="AI56" i="30"/>
  <c r="AL56" i="30"/>
  <c r="AP56" i="30"/>
  <c r="AQ56" i="30"/>
  <c r="AR56" i="30"/>
  <c r="AS56" i="30"/>
  <c r="AT56" i="30"/>
  <c r="AU56" i="30"/>
  <c r="AV56" i="30"/>
  <c r="AX56" i="30"/>
  <c r="AY56" i="30"/>
  <c r="AZ56" i="30"/>
  <c r="BY56" i="30"/>
  <c r="BZ56" i="30" s="1"/>
  <c r="CA56" i="30"/>
  <c r="CB56" i="30" s="1"/>
  <c r="CC56" i="30"/>
  <c r="CD56" i="30" s="1"/>
  <c r="CE56" i="30"/>
  <c r="CF56" i="30" s="1"/>
  <c r="CG56" i="30"/>
  <c r="CH56" i="30" s="1"/>
  <c r="CI56" i="30"/>
  <c r="CJ56" i="30" s="1"/>
  <c r="CK56" i="30"/>
  <c r="CL56" i="30" s="1"/>
  <c r="CM56" i="30"/>
  <c r="CN56" i="30" s="1"/>
  <c r="CQ56" i="30"/>
  <c r="CR56" i="30"/>
  <c r="CS56" i="30"/>
  <c r="CT56" i="30"/>
  <c r="CU56" i="30"/>
  <c r="CV56" i="30"/>
  <c r="CW56" i="30"/>
  <c r="CX56" i="30"/>
  <c r="CY56" i="30"/>
  <c r="CZ56" i="30"/>
  <c r="DA56" i="30"/>
  <c r="DB56" i="30"/>
  <c r="DC56" i="30"/>
  <c r="DD56" i="30"/>
  <c r="DE56" i="30"/>
  <c r="DI56" i="30"/>
  <c r="DM56" i="30"/>
  <c r="DR56" i="30"/>
  <c r="A57" i="30"/>
  <c r="B57" i="30"/>
  <c r="AO57" i="30" s="1"/>
  <c r="AE57" i="30"/>
  <c r="AF57" i="30"/>
  <c r="AI57" i="30"/>
  <c r="AL57" i="30"/>
  <c r="AP57" i="30"/>
  <c r="AQ57" i="30"/>
  <c r="AR57" i="30"/>
  <c r="AS57" i="30"/>
  <c r="AT57" i="30"/>
  <c r="AU57" i="30"/>
  <c r="AV57" i="30"/>
  <c r="AX57" i="30"/>
  <c r="AY57" i="30"/>
  <c r="AZ57" i="30"/>
  <c r="BY57" i="30"/>
  <c r="BZ57" i="30" s="1"/>
  <c r="CA57" i="30"/>
  <c r="CB57" i="30" s="1"/>
  <c r="CC57" i="30"/>
  <c r="CD57" i="30" s="1"/>
  <c r="CE57" i="30"/>
  <c r="CF57" i="30" s="1"/>
  <c r="CG57" i="30"/>
  <c r="CH57" i="30" s="1"/>
  <c r="CI57" i="30"/>
  <c r="CJ57" i="30" s="1"/>
  <c r="CK57" i="30"/>
  <c r="CL57" i="30" s="1"/>
  <c r="CM57" i="30"/>
  <c r="CN57" i="30" s="1"/>
  <c r="CP57" i="30"/>
  <c r="CQ57" i="30"/>
  <c r="CR57" i="30"/>
  <c r="CS57" i="30"/>
  <c r="CT57" i="30"/>
  <c r="CU57" i="30"/>
  <c r="CV57" i="30"/>
  <c r="CW57" i="30"/>
  <c r="CX57" i="30"/>
  <c r="CY57" i="30"/>
  <c r="CZ57" i="30"/>
  <c r="DA57" i="30"/>
  <c r="DB57" i="30"/>
  <c r="DC57" i="30"/>
  <c r="DD57" i="30"/>
  <c r="DE57" i="30"/>
  <c r="DI57" i="30"/>
  <c r="DK57" i="30"/>
  <c r="DM57" i="30"/>
  <c r="DR57" i="30"/>
  <c r="A58" i="30"/>
  <c r="AF58" i="30"/>
  <c r="AI58" i="30"/>
  <c r="AL58" i="30"/>
  <c r="AP58" i="30"/>
  <c r="AQ58" i="30"/>
  <c r="AR58" i="30"/>
  <c r="AS58" i="30"/>
  <c r="AT58" i="30"/>
  <c r="AU58" i="30"/>
  <c r="AV58" i="30"/>
  <c r="AX58" i="30"/>
  <c r="DI58" i="30" s="1"/>
  <c r="AY58" i="30"/>
  <c r="AZ58" i="30"/>
  <c r="BY58" i="30"/>
  <c r="BZ58" i="30" s="1"/>
  <c r="CA58" i="30"/>
  <c r="CB58" i="30" s="1"/>
  <c r="CC58" i="30"/>
  <c r="CD58" i="30" s="1"/>
  <c r="CE58" i="30"/>
  <c r="CF58" i="30" s="1"/>
  <c r="CG58" i="30"/>
  <c r="CH58" i="30" s="1"/>
  <c r="CI58" i="30"/>
  <c r="CJ58" i="30" s="1"/>
  <c r="CK58" i="30"/>
  <c r="CL58" i="30" s="1"/>
  <c r="CM58" i="30"/>
  <c r="CN58" i="30" s="1"/>
  <c r="CQ58" i="30"/>
  <c r="CR58" i="30"/>
  <c r="CS58" i="30"/>
  <c r="CT58" i="30"/>
  <c r="CU58" i="30"/>
  <c r="CV58" i="30"/>
  <c r="CW58" i="30"/>
  <c r="CX58" i="30"/>
  <c r="CY58" i="30"/>
  <c r="CZ58" i="30"/>
  <c r="DA58" i="30"/>
  <c r="DB58" i="30"/>
  <c r="DC58" i="30"/>
  <c r="DD58" i="30"/>
  <c r="DM58" i="30"/>
  <c r="DR58" i="30"/>
  <c r="A59" i="30"/>
  <c r="DK59" i="30" s="1"/>
  <c r="B59" i="30"/>
  <c r="AF59" i="30"/>
  <c r="AI59" i="30"/>
  <c r="AL59" i="30"/>
  <c r="AP59" i="30"/>
  <c r="AQ59" i="30"/>
  <c r="AR59" i="30"/>
  <c r="AS59" i="30"/>
  <c r="AT59" i="30"/>
  <c r="AU59" i="30"/>
  <c r="AV59" i="30"/>
  <c r="AX59" i="30"/>
  <c r="AY59" i="30"/>
  <c r="AZ59" i="30"/>
  <c r="BY59" i="30"/>
  <c r="BZ59" i="30" s="1"/>
  <c r="CA59" i="30"/>
  <c r="CB59" i="30" s="1"/>
  <c r="CC59" i="30"/>
  <c r="CD59" i="30" s="1"/>
  <c r="CE59" i="30"/>
  <c r="CF59" i="30" s="1"/>
  <c r="CG59" i="30"/>
  <c r="CH59" i="30" s="1"/>
  <c r="CI59" i="30"/>
  <c r="CJ59" i="30" s="1"/>
  <c r="CK59" i="30"/>
  <c r="CL59" i="30" s="1"/>
  <c r="CM59" i="30"/>
  <c r="CN59" i="30" s="1"/>
  <c r="CQ59" i="30"/>
  <c r="CR59" i="30"/>
  <c r="CS59" i="30"/>
  <c r="CT59" i="30"/>
  <c r="CU59" i="30"/>
  <c r="CV59" i="30"/>
  <c r="CW59" i="30"/>
  <c r="CX59" i="30"/>
  <c r="CY59" i="30"/>
  <c r="CZ59" i="30"/>
  <c r="DA59" i="30"/>
  <c r="DB59" i="30"/>
  <c r="DC59" i="30"/>
  <c r="DD59" i="30"/>
  <c r="DI59" i="30"/>
  <c r="DM59" i="30"/>
  <c r="DR59" i="30"/>
  <c r="A60" i="30"/>
  <c r="DK60" i="30" s="1"/>
  <c r="B60" i="30"/>
  <c r="AO60" i="30" s="1"/>
  <c r="AE60" i="30"/>
  <c r="CP60" i="30" s="1"/>
  <c r="AF60" i="30"/>
  <c r="AI60" i="30"/>
  <c r="AL60" i="30"/>
  <c r="AP60" i="30"/>
  <c r="AQ60" i="30"/>
  <c r="AR60" i="30"/>
  <c r="AS60" i="30"/>
  <c r="AT60" i="30"/>
  <c r="AU60" i="30"/>
  <c r="AV60" i="30"/>
  <c r="AX60" i="30"/>
  <c r="AY60" i="30"/>
  <c r="AZ60" i="30"/>
  <c r="BY60" i="30"/>
  <c r="BZ60" i="30" s="1"/>
  <c r="CA60" i="30"/>
  <c r="CB60" i="30" s="1"/>
  <c r="CC60" i="30"/>
  <c r="CD60" i="30" s="1"/>
  <c r="CE60" i="30"/>
  <c r="CF60" i="30" s="1"/>
  <c r="CG60" i="30"/>
  <c r="CH60" i="30" s="1"/>
  <c r="CI60" i="30"/>
  <c r="CJ60" i="30" s="1"/>
  <c r="CK60" i="30"/>
  <c r="CL60" i="30" s="1"/>
  <c r="CM60" i="30"/>
  <c r="CN60" i="30" s="1"/>
  <c r="CQ60" i="30"/>
  <c r="CR60" i="30"/>
  <c r="AM60" i="30" s="1"/>
  <c r="CS60" i="30"/>
  <c r="CT60" i="30"/>
  <c r="CU60" i="30"/>
  <c r="CV60" i="30"/>
  <c r="CW60" i="30"/>
  <c r="CX60" i="30"/>
  <c r="CY60" i="30"/>
  <c r="CZ60" i="30"/>
  <c r="DA60" i="30"/>
  <c r="DB60" i="30"/>
  <c r="DC60" i="30"/>
  <c r="DD60" i="30"/>
  <c r="DE60" i="30"/>
  <c r="DI60" i="30"/>
  <c r="DM60" i="30"/>
  <c r="DR60" i="30"/>
  <c r="A61" i="30"/>
  <c r="B61" i="30"/>
  <c r="AO61" i="30" s="1"/>
  <c r="AE61" i="30"/>
  <c r="AF61" i="30"/>
  <c r="AI61" i="30"/>
  <c r="AL61" i="30"/>
  <c r="AP61" i="30"/>
  <c r="AQ61" i="30"/>
  <c r="AR61" i="30"/>
  <c r="AS61" i="30"/>
  <c r="AT61" i="30"/>
  <c r="AU61" i="30"/>
  <c r="AV61" i="30"/>
  <c r="AX61" i="30"/>
  <c r="AY61" i="30"/>
  <c r="AZ61" i="30"/>
  <c r="BY61" i="30"/>
  <c r="BZ61" i="30" s="1"/>
  <c r="CA61" i="30"/>
  <c r="CB61" i="30" s="1"/>
  <c r="CC61" i="30"/>
  <c r="CD61" i="30" s="1"/>
  <c r="CE61" i="30"/>
  <c r="CF61" i="30" s="1"/>
  <c r="CG61" i="30"/>
  <c r="CH61" i="30" s="1"/>
  <c r="CI61" i="30"/>
  <c r="CJ61" i="30" s="1"/>
  <c r="CK61" i="30"/>
  <c r="CL61" i="30" s="1"/>
  <c r="CM61" i="30"/>
  <c r="CN61" i="30" s="1"/>
  <c r="CP61" i="30"/>
  <c r="CQ61" i="30"/>
  <c r="CR61" i="30"/>
  <c r="CS61" i="30"/>
  <c r="CT61" i="30"/>
  <c r="CU61" i="30"/>
  <c r="CV61" i="30"/>
  <c r="CW61" i="30"/>
  <c r="CX61" i="30"/>
  <c r="CY61" i="30"/>
  <c r="CZ61" i="30"/>
  <c r="DA61" i="30"/>
  <c r="DB61" i="30"/>
  <c r="DC61" i="30"/>
  <c r="DD61" i="30"/>
  <c r="DE61" i="30"/>
  <c r="DI61" i="30"/>
  <c r="DK61" i="30"/>
  <c r="DM61" i="30"/>
  <c r="DR61" i="30"/>
  <c r="A62" i="30"/>
  <c r="AF62" i="30"/>
  <c r="AI62" i="30"/>
  <c r="AL62" i="30"/>
  <c r="AP62" i="30"/>
  <c r="AQ62" i="30"/>
  <c r="AR62" i="30"/>
  <c r="AS62" i="30"/>
  <c r="AT62" i="30"/>
  <c r="AU62" i="30"/>
  <c r="AV62" i="30"/>
  <c r="AY62" i="30"/>
  <c r="AZ62" i="30"/>
  <c r="BY62" i="30"/>
  <c r="BZ62" i="30" s="1"/>
  <c r="CA62" i="30"/>
  <c r="CB62" i="30" s="1"/>
  <c r="CC62" i="30"/>
  <c r="CD62" i="30" s="1"/>
  <c r="CE62" i="30"/>
  <c r="CF62" i="30" s="1"/>
  <c r="CG62" i="30"/>
  <c r="CH62" i="30" s="1"/>
  <c r="CI62" i="30"/>
  <c r="CJ62" i="30" s="1"/>
  <c r="CK62" i="30"/>
  <c r="CL62" i="30" s="1"/>
  <c r="CM62" i="30"/>
  <c r="CN62" i="30" s="1"/>
  <c r="CQ62" i="30"/>
  <c r="CR62" i="30"/>
  <c r="CS62" i="30"/>
  <c r="CT62" i="30"/>
  <c r="CU62" i="30"/>
  <c r="CV62" i="30"/>
  <c r="CW62" i="30"/>
  <c r="CX62" i="30"/>
  <c r="CY62" i="30"/>
  <c r="CZ62" i="30"/>
  <c r="DA62" i="30"/>
  <c r="DB62" i="30"/>
  <c r="DC62" i="30"/>
  <c r="DD62" i="30"/>
  <c r="DM62" i="30"/>
  <c r="DR62" i="30"/>
  <c r="A63" i="30"/>
  <c r="DK63" i="30" s="1"/>
  <c r="B63" i="30"/>
  <c r="AF63" i="30"/>
  <c r="AI63" i="30"/>
  <c r="AL63" i="30"/>
  <c r="AP63" i="30"/>
  <c r="AQ63" i="30"/>
  <c r="AR63" i="30"/>
  <c r="AS63" i="30"/>
  <c r="AT63" i="30"/>
  <c r="AU63" i="30"/>
  <c r="AV63" i="30"/>
  <c r="AX63" i="30"/>
  <c r="AY63" i="30"/>
  <c r="AZ63" i="30"/>
  <c r="BY63" i="30"/>
  <c r="BZ63" i="30" s="1"/>
  <c r="CA63" i="30"/>
  <c r="CB63" i="30" s="1"/>
  <c r="CC63" i="30"/>
  <c r="CD63" i="30" s="1"/>
  <c r="CE63" i="30"/>
  <c r="CF63" i="30" s="1"/>
  <c r="CG63" i="30"/>
  <c r="CH63" i="30" s="1"/>
  <c r="CI63" i="30"/>
  <c r="CJ63" i="30" s="1"/>
  <c r="CK63" i="30"/>
  <c r="CL63" i="30" s="1"/>
  <c r="CM63" i="30"/>
  <c r="CN63" i="30" s="1"/>
  <c r="CQ63" i="30"/>
  <c r="CR63" i="30"/>
  <c r="CS63" i="30"/>
  <c r="CT63" i="30"/>
  <c r="CU63" i="30"/>
  <c r="CV63" i="30"/>
  <c r="CW63" i="30"/>
  <c r="CX63" i="30"/>
  <c r="CY63" i="30"/>
  <c r="CZ63" i="30"/>
  <c r="DA63" i="30"/>
  <c r="DB63" i="30"/>
  <c r="DC63" i="30"/>
  <c r="DD63" i="30"/>
  <c r="DI63" i="30"/>
  <c r="DM63" i="30"/>
  <c r="DR63" i="30"/>
  <c r="A64" i="30"/>
  <c r="DK64" i="30" s="1"/>
  <c r="B64" i="30"/>
  <c r="AO64" i="30" s="1"/>
  <c r="AE64" i="30"/>
  <c r="CP64" i="30" s="1"/>
  <c r="AF64" i="30"/>
  <c r="AI64" i="30"/>
  <c r="AL64" i="30"/>
  <c r="AP64" i="30"/>
  <c r="AQ64" i="30"/>
  <c r="AR64" i="30"/>
  <c r="AS64" i="30"/>
  <c r="AT64" i="30"/>
  <c r="AU64" i="30"/>
  <c r="AV64" i="30"/>
  <c r="AX64" i="30"/>
  <c r="AY64" i="30"/>
  <c r="AZ64" i="30"/>
  <c r="BY64" i="30"/>
  <c r="BZ64" i="30" s="1"/>
  <c r="CA64" i="30"/>
  <c r="CB64" i="30" s="1"/>
  <c r="CC64" i="30"/>
  <c r="CD64" i="30" s="1"/>
  <c r="CE64" i="30"/>
  <c r="CF64" i="30" s="1"/>
  <c r="CG64" i="30"/>
  <c r="CH64" i="30" s="1"/>
  <c r="CI64" i="30"/>
  <c r="CJ64" i="30" s="1"/>
  <c r="CK64" i="30"/>
  <c r="CL64" i="30" s="1"/>
  <c r="CM64" i="30"/>
  <c r="CN64" i="30" s="1"/>
  <c r="CQ64" i="30"/>
  <c r="CR64" i="30"/>
  <c r="CS64" i="30"/>
  <c r="CT64" i="30"/>
  <c r="CU64" i="30"/>
  <c r="CV64" i="30"/>
  <c r="CW64" i="30"/>
  <c r="CX64" i="30"/>
  <c r="CY64" i="30"/>
  <c r="CZ64" i="30"/>
  <c r="DA64" i="30"/>
  <c r="DB64" i="30"/>
  <c r="DC64" i="30"/>
  <c r="DD64" i="30"/>
  <c r="DE64" i="30"/>
  <c r="DI64" i="30"/>
  <c r="DM64" i="30"/>
  <c r="DR64" i="30"/>
  <c r="A65" i="30"/>
  <c r="B65" i="30"/>
  <c r="AO65" i="30" s="1"/>
  <c r="AE65" i="30"/>
  <c r="AF65" i="30"/>
  <c r="AI65" i="30"/>
  <c r="AL65" i="30"/>
  <c r="AP65" i="30"/>
  <c r="AQ65" i="30"/>
  <c r="AR65" i="30"/>
  <c r="AS65" i="30"/>
  <c r="AT65" i="30"/>
  <c r="AU65" i="30"/>
  <c r="AV65" i="30"/>
  <c r="AX65" i="30"/>
  <c r="AY65" i="30"/>
  <c r="AZ65" i="30"/>
  <c r="BY65" i="30"/>
  <c r="BZ65" i="30" s="1"/>
  <c r="CA65" i="30"/>
  <c r="CB65" i="30" s="1"/>
  <c r="CC65" i="30"/>
  <c r="CD65" i="30" s="1"/>
  <c r="CE65" i="30"/>
  <c r="CF65" i="30" s="1"/>
  <c r="CG65" i="30"/>
  <c r="CH65" i="30" s="1"/>
  <c r="CI65" i="30"/>
  <c r="CJ65" i="30" s="1"/>
  <c r="CK65" i="30"/>
  <c r="CL65" i="30" s="1"/>
  <c r="CM65" i="30"/>
  <c r="CN65" i="30" s="1"/>
  <c r="CP65" i="30"/>
  <c r="CQ65" i="30"/>
  <c r="CR65" i="30"/>
  <c r="CS65" i="30"/>
  <c r="CT65" i="30"/>
  <c r="CU65" i="30"/>
  <c r="CV65" i="30"/>
  <c r="CW65" i="30"/>
  <c r="CX65" i="30"/>
  <c r="CY65" i="30"/>
  <c r="CZ65" i="30"/>
  <c r="DA65" i="30"/>
  <c r="DB65" i="30"/>
  <c r="DC65" i="30"/>
  <c r="DD65" i="30"/>
  <c r="DE65" i="30"/>
  <c r="DI65" i="30"/>
  <c r="DK65" i="30"/>
  <c r="DM65" i="30"/>
  <c r="DR65" i="30"/>
  <c r="A66" i="30"/>
  <c r="B66" i="30" s="1"/>
  <c r="AE66" i="30" s="1"/>
  <c r="CP66" i="30" s="1"/>
  <c r="AF66" i="30"/>
  <c r="AI66" i="30"/>
  <c r="AL66" i="30"/>
  <c r="AP66" i="30"/>
  <c r="AQ66" i="30"/>
  <c r="AR66" i="30"/>
  <c r="AS66" i="30"/>
  <c r="AT66" i="30"/>
  <c r="AU66" i="30"/>
  <c r="AV66" i="30"/>
  <c r="AY66" i="30"/>
  <c r="AZ66" i="30"/>
  <c r="BY66" i="30"/>
  <c r="BZ66" i="30" s="1"/>
  <c r="CA66" i="30"/>
  <c r="CB66" i="30" s="1"/>
  <c r="CC66" i="30"/>
  <c r="CD66" i="30" s="1"/>
  <c r="CE66" i="30"/>
  <c r="CF66" i="30" s="1"/>
  <c r="CG66" i="30"/>
  <c r="CH66" i="30" s="1"/>
  <c r="CI66" i="30"/>
  <c r="CJ66" i="30" s="1"/>
  <c r="CK66" i="30"/>
  <c r="CL66" i="30" s="1"/>
  <c r="CM66" i="30"/>
  <c r="CN66" i="30" s="1"/>
  <c r="CQ66" i="30"/>
  <c r="CR66" i="30"/>
  <c r="CS66" i="30"/>
  <c r="CT66" i="30"/>
  <c r="CU66" i="30"/>
  <c r="CV66" i="30"/>
  <c r="CW66" i="30"/>
  <c r="CX66" i="30"/>
  <c r="CY66" i="30"/>
  <c r="CZ66" i="30"/>
  <c r="DA66" i="30"/>
  <c r="DB66" i="30"/>
  <c r="DC66" i="30"/>
  <c r="DD66" i="30"/>
  <c r="DK66" i="30"/>
  <c r="DM66" i="30"/>
  <c r="DR66" i="30"/>
  <c r="A67" i="30"/>
  <c r="B67" i="30"/>
  <c r="AE67" i="30" s="1"/>
  <c r="AF67" i="30"/>
  <c r="AI67" i="30"/>
  <c r="AL67" i="30"/>
  <c r="AO67" i="30"/>
  <c r="AP67" i="30"/>
  <c r="AQ67" i="30"/>
  <c r="AR67" i="30"/>
  <c r="AS67" i="30"/>
  <c r="AT67" i="30"/>
  <c r="AU67" i="30"/>
  <c r="AV67" i="30"/>
  <c r="AX67" i="30"/>
  <c r="AY67" i="30"/>
  <c r="AZ67" i="30"/>
  <c r="BY67" i="30"/>
  <c r="BZ67" i="30" s="1"/>
  <c r="CA67" i="30"/>
  <c r="CB67" i="30" s="1"/>
  <c r="CC67" i="30"/>
  <c r="CD67" i="30" s="1"/>
  <c r="CE67" i="30"/>
  <c r="CF67" i="30" s="1"/>
  <c r="CG67" i="30"/>
  <c r="CH67" i="30" s="1"/>
  <c r="CI67" i="30"/>
  <c r="CJ67" i="30" s="1"/>
  <c r="CK67" i="30"/>
  <c r="CL67" i="30" s="1"/>
  <c r="CM67" i="30"/>
  <c r="CN67" i="30" s="1"/>
  <c r="CP67" i="30"/>
  <c r="CQ67" i="30"/>
  <c r="CR67" i="30"/>
  <c r="CS67" i="30"/>
  <c r="CT67" i="30"/>
  <c r="CU67" i="30"/>
  <c r="CV67" i="30"/>
  <c r="CW67" i="30"/>
  <c r="CX67" i="30"/>
  <c r="CY67" i="30"/>
  <c r="CZ67" i="30"/>
  <c r="DA67" i="30"/>
  <c r="DB67" i="30"/>
  <c r="DC67" i="30"/>
  <c r="DD67" i="30"/>
  <c r="DI67" i="30"/>
  <c r="DE67" i="30" s="1"/>
  <c r="DK67" i="30"/>
  <c r="DM67" i="30"/>
  <c r="DR67" i="30"/>
  <c r="A68" i="30"/>
  <c r="B68" i="30" s="1"/>
  <c r="AF68" i="30"/>
  <c r="AI68" i="30"/>
  <c r="AL68" i="30"/>
  <c r="AP68" i="30"/>
  <c r="AQ68" i="30"/>
  <c r="AR68" i="30"/>
  <c r="AS68" i="30"/>
  <c r="AT68" i="30"/>
  <c r="AU68" i="30"/>
  <c r="AV68" i="30"/>
  <c r="AX68" i="30"/>
  <c r="AY68" i="30"/>
  <c r="AZ68" i="30"/>
  <c r="BY68" i="30"/>
  <c r="BZ68" i="30" s="1"/>
  <c r="CA68" i="30"/>
  <c r="CB68" i="30" s="1"/>
  <c r="CC68" i="30"/>
  <c r="CD68" i="30" s="1"/>
  <c r="CE68" i="30"/>
  <c r="CF68" i="30" s="1"/>
  <c r="CG68" i="30"/>
  <c r="CH68" i="30" s="1"/>
  <c r="CI68" i="30"/>
  <c r="CJ68" i="30" s="1"/>
  <c r="CK68" i="30"/>
  <c r="CL68" i="30" s="1"/>
  <c r="CM68" i="30"/>
  <c r="CN68" i="30" s="1"/>
  <c r="CQ68" i="30"/>
  <c r="CR68" i="30"/>
  <c r="CS68" i="30"/>
  <c r="CT68" i="30"/>
  <c r="CU68" i="30"/>
  <c r="CV68" i="30"/>
  <c r="CW68" i="30"/>
  <c r="CX68" i="30"/>
  <c r="CY68" i="30"/>
  <c r="CZ68" i="30"/>
  <c r="DA68" i="30"/>
  <c r="DB68" i="30"/>
  <c r="DC68" i="30"/>
  <c r="DD68" i="30"/>
  <c r="DI68" i="30"/>
  <c r="DM68" i="30"/>
  <c r="DR68" i="30"/>
  <c r="A69" i="30"/>
  <c r="B69" i="30"/>
  <c r="AO69" i="30" s="1"/>
  <c r="AE69" i="30"/>
  <c r="CP69" i="30" s="1"/>
  <c r="AF69" i="30"/>
  <c r="AI69" i="30"/>
  <c r="AL69" i="30"/>
  <c r="AP69" i="30"/>
  <c r="AQ69" i="30"/>
  <c r="AR69" i="30"/>
  <c r="AS69" i="30"/>
  <c r="AT69" i="30"/>
  <c r="AU69" i="30"/>
  <c r="AV69" i="30"/>
  <c r="AX69" i="30"/>
  <c r="AY69" i="30"/>
  <c r="AZ69" i="30"/>
  <c r="BY69" i="30"/>
  <c r="BZ69" i="30" s="1"/>
  <c r="CA69" i="30"/>
  <c r="CB69" i="30" s="1"/>
  <c r="CC69" i="30"/>
  <c r="CD69" i="30" s="1"/>
  <c r="CE69" i="30"/>
  <c r="CF69" i="30" s="1"/>
  <c r="CG69" i="30"/>
  <c r="CH69" i="30" s="1"/>
  <c r="CI69" i="30"/>
  <c r="CJ69" i="30" s="1"/>
  <c r="CK69" i="30"/>
  <c r="CL69" i="30" s="1"/>
  <c r="CM69" i="30"/>
  <c r="CN69" i="30" s="1"/>
  <c r="CQ69" i="30"/>
  <c r="CR69" i="30"/>
  <c r="CS69" i="30"/>
  <c r="CT69" i="30"/>
  <c r="CU69" i="30"/>
  <c r="CV69" i="30"/>
  <c r="CW69" i="30"/>
  <c r="CX69" i="30"/>
  <c r="CY69" i="30"/>
  <c r="CZ69" i="30"/>
  <c r="DA69" i="30"/>
  <c r="DB69" i="30"/>
  <c r="DC69" i="30"/>
  <c r="DD69" i="30"/>
  <c r="DI69" i="30"/>
  <c r="DE69" i="30" s="1"/>
  <c r="DK69" i="30"/>
  <c r="DM69" i="30"/>
  <c r="DR69" i="30"/>
  <c r="A70" i="30"/>
  <c r="B70" i="30" s="1"/>
  <c r="AF70" i="30"/>
  <c r="AI70" i="30"/>
  <c r="AL70" i="30"/>
  <c r="AP70" i="30"/>
  <c r="AQ70" i="30"/>
  <c r="AR70" i="30"/>
  <c r="AS70" i="30"/>
  <c r="AT70" i="30"/>
  <c r="AU70" i="30"/>
  <c r="AV70" i="30"/>
  <c r="AX70" i="30"/>
  <c r="DI70" i="30" s="1"/>
  <c r="AY70" i="30"/>
  <c r="AZ70" i="30"/>
  <c r="BY70" i="30"/>
  <c r="BZ70" i="30" s="1"/>
  <c r="CA70" i="30"/>
  <c r="CB70" i="30" s="1"/>
  <c r="CC70" i="30"/>
  <c r="CD70" i="30" s="1"/>
  <c r="CE70" i="30"/>
  <c r="CF70" i="30" s="1"/>
  <c r="CG70" i="30"/>
  <c r="CH70" i="30" s="1"/>
  <c r="CI70" i="30"/>
  <c r="CJ70" i="30" s="1"/>
  <c r="CK70" i="30"/>
  <c r="CL70" i="30" s="1"/>
  <c r="CM70" i="30"/>
  <c r="CN70" i="30" s="1"/>
  <c r="CQ70" i="30"/>
  <c r="CR70" i="30"/>
  <c r="CS70" i="30"/>
  <c r="CT70" i="30"/>
  <c r="CU70" i="30"/>
  <c r="CV70" i="30"/>
  <c r="CW70" i="30"/>
  <c r="CX70" i="30"/>
  <c r="CY70" i="30"/>
  <c r="CZ70" i="30"/>
  <c r="DA70" i="30"/>
  <c r="DB70" i="30"/>
  <c r="DC70" i="30"/>
  <c r="DD70" i="30"/>
  <c r="DK70" i="30"/>
  <c r="DM70" i="30"/>
  <c r="DR70" i="30"/>
  <c r="A71" i="30"/>
  <c r="CP71" i="30"/>
  <c r="DR71" i="30"/>
  <c r="A72" i="30"/>
  <c r="A73" i="30"/>
  <c r="A74" i="30"/>
  <c r="A75" i="30"/>
  <c r="A77" i="30"/>
  <c r="A79" i="30"/>
  <c r="A81" i="30"/>
  <c r="E92" i="30"/>
  <c r="L92" i="30"/>
  <c r="S92" i="30"/>
  <c r="Z92" i="30"/>
  <c r="AG92" i="30"/>
  <c r="AN92" i="30"/>
  <c r="AU92" i="30"/>
  <c r="BB92" i="30"/>
  <c r="D67" i="29"/>
  <c r="E51" i="29"/>
  <c r="B51" i="29"/>
  <c r="B48" i="29"/>
  <c r="B43" i="29"/>
  <c r="E42" i="29"/>
  <c r="E60" i="29" s="1"/>
  <c r="B35" i="29"/>
  <c r="E33" i="29"/>
  <c r="B31" i="29"/>
  <c r="E23" i="29"/>
  <c r="B21" i="29"/>
  <c r="B60" i="29" s="1"/>
  <c r="V74" i="30" l="1"/>
  <c r="AC79" i="30" s="1"/>
  <c r="AM74" i="30"/>
  <c r="H78" i="30"/>
  <c r="D81" i="30"/>
  <c r="AQ74" i="30"/>
  <c r="AX76" i="30" s="1"/>
  <c r="AD89" i="30"/>
  <c r="AE89" i="30" s="1"/>
  <c r="D78" i="30"/>
  <c r="AL74" i="30"/>
  <c r="BE74" i="30"/>
  <c r="AT74" i="30"/>
  <c r="BA79" i="30" s="1"/>
  <c r="G79" i="30"/>
  <c r="F77" i="30"/>
  <c r="AK90" i="30"/>
  <c r="AL90" i="30" s="1"/>
  <c r="B90" i="30"/>
  <c r="C90" i="30" s="1"/>
  <c r="I85" i="30"/>
  <c r="J85" i="30" s="1"/>
  <c r="H81" i="30"/>
  <c r="D77" i="30"/>
  <c r="W91" i="30"/>
  <c r="X91" i="30" s="1"/>
  <c r="AY88" i="30"/>
  <c r="AZ88" i="30" s="1"/>
  <c r="AX81" i="30"/>
  <c r="AC81" i="30"/>
  <c r="F80" i="30"/>
  <c r="B80" i="30"/>
  <c r="G78" i="30"/>
  <c r="C78" i="30"/>
  <c r="E80" i="30"/>
  <c r="AH74" i="30"/>
  <c r="AO81" i="30" s="1"/>
  <c r="B79" i="30"/>
  <c r="E81" i="30"/>
  <c r="G77" i="30"/>
  <c r="C80" i="30"/>
  <c r="E78" i="30"/>
  <c r="E74" i="30"/>
  <c r="L78" i="30" s="1"/>
  <c r="AP74" i="30"/>
  <c r="AW79" i="30" s="1"/>
  <c r="C77" i="30"/>
  <c r="AT79" i="30"/>
  <c r="AT76" i="30"/>
  <c r="AT80" i="30"/>
  <c r="AT81" i="30"/>
  <c r="P91" i="30"/>
  <c r="Q91" i="30" s="1"/>
  <c r="G81" i="30"/>
  <c r="F79" i="30"/>
  <c r="AG70" i="30"/>
  <c r="AH70" i="30" s="1"/>
  <c r="AG69" i="30"/>
  <c r="AH69" i="30" s="1"/>
  <c r="AY89" i="30"/>
  <c r="AZ89" i="30" s="1"/>
  <c r="B82" i="30"/>
  <c r="C82" i="30" s="1"/>
  <c r="B91" i="30"/>
  <c r="C91" i="30" s="1"/>
  <c r="W90" i="30"/>
  <c r="X90" i="30" s="1"/>
  <c r="AD88" i="30"/>
  <c r="AE88" i="30" s="1"/>
  <c r="AY87" i="30"/>
  <c r="AZ87" i="30" s="1"/>
  <c r="AY86" i="30"/>
  <c r="AZ86" i="30" s="1"/>
  <c r="W86" i="30"/>
  <c r="X86" i="30" s="1"/>
  <c r="AR84" i="30"/>
  <c r="AS84" i="30" s="1"/>
  <c r="I83" i="30"/>
  <c r="J83" i="30" s="1"/>
  <c r="F81" i="30"/>
  <c r="B81" i="30"/>
  <c r="BA80" i="30"/>
  <c r="AC80" i="30"/>
  <c r="H80" i="30"/>
  <c r="D80" i="30"/>
  <c r="E79" i="30"/>
  <c r="AX78" i="30"/>
  <c r="AS78" i="30"/>
  <c r="F78" i="30"/>
  <c r="AC77" i="30"/>
  <c r="H77" i="30"/>
  <c r="H76" i="30"/>
  <c r="BA74" i="30"/>
  <c r="AG58" i="30"/>
  <c r="AH58" i="30" s="1"/>
  <c r="AS81" i="30"/>
  <c r="C81" i="30"/>
  <c r="BA78" i="30"/>
  <c r="BA77" i="30"/>
  <c r="AR91" i="30"/>
  <c r="AS91" i="30" s="1"/>
  <c r="AY90" i="30"/>
  <c r="AZ90" i="30" s="1"/>
  <c r="AK89" i="30"/>
  <c r="AL89" i="30" s="1"/>
  <c r="P88" i="30"/>
  <c r="Q88" i="30" s="1"/>
  <c r="AK84" i="30"/>
  <c r="AL84" i="30" s="1"/>
  <c r="AX80" i="30"/>
  <c r="AS80" i="30"/>
  <c r="G80" i="30"/>
  <c r="D76" i="30"/>
  <c r="AX74" i="30"/>
  <c r="AN74" i="30"/>
  <c r="AU74" i="30"/>
  <c r="AJ56" i="30"/>
  <c r="AK56" i="30" s="1"/>
  <c r="C74" i="30"/>
  <c r="AG66" i="30"/>
  <c r="AH66" i="30" s="1"/>
  <c r="M74" i="30"/>
  <c r="AD74" i="30"/>
  <c r="B77" i="30"/>
  <c r="AJ70" i="30"/>
  <c r="AK70" i="30" s="1"/>
  <c r="N74" i="30"/>
  <c r="J74" i="30"/>
  <c r="Q78" i="30" s="1"/>
  <c r="AJ69" i="30"/>
  <c r="AK69" i="30" s="1"/>
  <c r="AJ66" i="30"/>
  <c r="AK66" i="30" s="1"/>
  <c r="AJ65" i="30"/>
  <c r="AK65" i="30" s="1"/>
  <c r="AM56" i="30"/>
  <c r="AJ55" i="30"/>
  <c r="AK55" i="30" s="1"/>
  <c r="AJ53" i="30"/>
  <c r="AK53" i="30" s="1"/>
  <c r="AN53" i="30"/>
  <c r="AJ52" i="30"/>
  <c r="AK52" i="30" s="1"/>
  <c r="AG51" i="30"/>
  <c r="AH51" i="30" s="1"/>
  <c r="AJ50" i="30"/>
  <c r="AK50" i="30" s="1"/>
  <c r="AG49" i="30"/>
  <c r="AH49" i="30" s="1"/>
  <c r="AN48" i="30"/>
  <c r="AG44" i="30"/>
  <c r="AH44" i="30" s="1"/>
  <c r="CL43" i="30"/>
  <c r="CL42" i="30"/>
  <c r="CL40" i="30"/>
  <c r="AR90" i="30" s="1"/>
  <c r="AS90" i="30" s="1"/>
  <c r="DR37" i="30"/>
  <c r="DK36" i="30"/>
  <c r="AJ37" i="30"/>
  <c r="CP36" i="30"/>
  <c r="CN35" i="30"/>
  <c r="AX35" i="30"/>
  <c r="DI35" i="30" s="1"/>
  <c r="AJ34" i="30"/>
  <c r="AJ31" i="30"/>
  <c r="DR32" i="30"/>
  <c r="CL32" i="30"/>
  <c r="AR86" i="30" s="1"/>
  <c r="AM32" i="30"/>
  <c r="AX31" i="30"/>
  <c r="AW76" i="30" s="1"/>
  <c r="CL30" i="30"/>
  <c r="AR85" i="30" s="1"/>
  <c r="DR30" i="30"/>
  <c r="DK29" i="30"/>
  <c r="AM26" i="30"/>
  <c r="CJ27" i="30"/>
  <c r="AK83" i="30" s="1"/>
  <c r="AX27" i="30"/>
  <c r="DI27" i="30" s="1"/>
  <c r="AX26" i="30"/>
  <c r="DI26" i="30" s="1"/>
  <c r="DR26" i="30"/>
  <c r="AJ25" i="30"/>
  <c r="CP25" i="30"/>
  <c r="AM28" i="30"/>
  <c r="AM20" i="30"/>
  <c r="AJ23" i="30"/>
  <c r="AJ19" i="30"/>
  <c r="CH21" i="30"/>
  <c r="DR20" i="30"/>
  <c r="AG21" i="30"/>
  <c r="DK19" i="30"/>
  <c r="AJ22" i="30"/>
  <c r="CP19" i="30"/>
  <c r="CF18" i="30"/>
  <c r="W85" i="30" s="1"/>
  <c r="DR16" i="30"/>
  <c r="DK15" i="30"/>
  <c r="AG15" i="30"/>
  <c r="AJ10" i="30"/>
  <c r="CB13" i="30"/>
  <c r="DR10" i="30"/>
  <c r="AG9" i="30"/>
  <c r="AJ6" i="30"/>
  <c r="BZ6" i="30"/>
  <c r="B89" i="30" s="1"/>
  <c r="AJ5" i="30"/>
  <c r="BZ4" i="30"/>
  <c r="AX4" i="30"/>
  <c r="H79" i="30" s="1"/>
  <c r="AM70" i="30"/>
  <c r="AG68" i="30"/>
  <c r="AH68" i="30" s="1"/>
  <c r="AG67" i="30"/>
  <c r="AH67" i="30" s="1"/>
  <c r="AM66" i="30"/>
  <c r="AM65" i="30"/>
  <c r="DG65" i="30" s="1"/>
  <c r="DG60" i="30"/>
  <c r="DH60" i="30" s="1"/>
  <c r="AJ60" i="30"/>
  <c r="AK60" i="30" s="1"/>
  <c r="AM53" i="30"/>
  <c r="DG53" i="30" s="1"/>
  <c r="AM52" i="30"/>
  <c r="AJ51" i="30"/>
  <c r="AK51" i="30" s="1"/>
  <c r="AJ49" i="30"/>
  <c r="AK49" i="30" s="1"/>
  <c r="AN49" i="30"/>
  <c r="AJ48" i="30"/>
  <c r="AK48" i="30" s="1"/>
  <c r="AG47" i="30"/>
  <c r="AH47" i="30" s="1"/>
  <c r="AG46" i="30"/>
  <c r="AH46" i="30" s="1"/>
  <c r="AG45" i="30"/>
  <c r="AH45" i="30" s="1"/>
  <c r="AG40" i="30"/>
  <c r="AH40" i="30" s="1"/>
  <c r="AG39" i="30"/>
  <c r="AH39" i="30" s="1"/>
  <c r="AG36" i="30"/>
  <c r="AH36" i="30" s="1"/>
  <c r="AG35" i="30"/>
  <c r="AH35" i="30" s="1"/>
  <c r="CN36" i="30"/>
  <c r="AJ38" i="30"/>
  <c r="AG38" i="30"/>
  <c r="AG31" i="30"/>
  <c r="AJ32" i="30"/>
  <c r="CL29" i="30"/>
  <c r="AR83" i="30" s="1"/>
  <c r="AS83" i="30" s="1"/>
  <c r="AJ26" i="30"/>
  <c r="AJ28" i="30"/>
  <c r="AJ21" i="30"/>
  <c r="AX20" i="30"/>
  <c r="DI20" i="30" s="1"/>
  <c r="AG18" i="30"/>
  <c r="AJ14" i="30"/>
  <c r="AX16" i="30"/>
  <c r="CF15" i="30"/>
  <c r="AJ15" i="30"/>
  <c r="AJ13" i="30"/>
  <c r="AM13" i="30"/>
  <c r="AJ12" i="30"/>
  <c r="AG12" i="30"/>
  <c r="AX10" i="30"/>
  <c r="DI10" i="30" s="1"/>
  <c r="AJ9" i="30"/>
  <c r="AM8" i="30"/>
  <c r="CP7" i="30"/>
  <c r="CF6" i="30"/>
  <c r="AG4" i="30"/>
  <c r="S74" i="30"/>
  <c r="Z80" i="30" s="1"/>
  <c r="AM69" i="30"/>
  <c r="F74" i="30"/>
  <c r="M77" i="30" s="1"/>
  <c r="AJ67" i="30"/>
  <c r="AK67" i="30" s="1"/>
  <c r="AM64" i="30"/>
  <c r="AJ61" i="30"/>
  <c r="AK61" i="30" s="1"/>
  <c r="AN61" i="30"/>
  <c r="AG59" i="30"/>
  <c r="AH59" i="30" s="1"/>
  <c r="AN56" i="30"/>
  <c r="AN54" i="30"/>
  <c r="AM49" i="30"/>
  <c r="DG49" i="30" s="1"/>
  <c r="AM48" i="30"/>
  <c r="DG48" i="30" s="1"/>
  <c r="AJ47" i="30"/>
  <c r="AK47" i="30" s="1"/>
  <c r="AJ46" i="30"/>
  <c r="AK46" i="30" s="1"/>
  <c r="AM44" i="30"/>
  <c r="AN44" i="30" s="1"/>
  <c r="AJ43" i="30"/>
  <c r="CP43" i="30"/>
  <c r="AJ42" i="30"/>
  <c r="AM42" i="30"/>
  <c r="BZ41" i="30"/>
  <c r="B87" i="30" s="1"/>
  <c r="AJ39" i="30"/>
  <c r="AJ36" i="30"/>
  <c r="AJ35" i="30"/>
  <c r="AM38" i="30"/>
  <c r="AG34" i="30"/>
  <c r="AJ29" i="30"/>
  <c r="CP32" i="30"/>
  <c r="AX29" i="30"/>
  <c r="DI29" i="30" s="1"/>
  <c r="DK27" i="30"/>
  <c r="DK20" i="30"/>
  <c r="AM21" i="30"/>
  <c r="AM16" i="30"/>
  <c r="CB18" i="30"/>
  <c r="AM18" i="30"/>
  <c r="AM14" i="30"/>
  <c r="CP14" i="30"/>
  <c r="AX11" i="30"/>
  <c r="DI11" i="30" s="1"/>
  <c r="DR11" i="30"/>
  <c r="DK10" i="30"/>
  <c r="CP10" i="30"/>
  <c r="AG8" i="30"/>
  <c r="AX7" i="30"/>
  <c r="L76" i="30" s="1"/>
  <c r="AJ4" i="30"/>
  <c r="AM5" i="30"/>
  <c r="AG55" i="30"/>
  <c r="AH55" i="30" s="1"/>
  <c r="AJ54" i="30"/>
  <c r="AK54" i="30" s="1"/>
  <c r="AG53" i="30"/>
  <c r="AH53" i="30" s="1"/>
  <c r="AN52" i="30"/>
  <c r="AN50" i="30"/>
  <c r="AJ45" i="30"/>
  <c r="AK45" i="30" s="1"/>
  <c r="AM37" i="30"/>
  <c r="AM34" i="30"/>
  <c r="AM25" i="30"/>
  <c r="DK24" i="30"/>
  <c r="AM23" i="30"/>
  <c r="AG22" i="30"/>
  <c r="AX19" i="30"/>
  <c r="AM15" i="30"/>
  <c r="CD11" i="30"/>
  <c r="AJ8" i="30"/>
  <c r="AM6" i="30"/>
  <c r="AG5" i="30"/>
  <c r="BZ2" i="30"/>
  <c r="P89" i="30"/>
  <c r="Q89" i="30" s="1"/>
  <c r="AY91" i="30"/>
  <c r="AZ91" i="30" s="1"/>
  <c r="Z76" i="30"/>
  <c r="P90" i="30"/>
  <c r="Q90" i="30" s="1"/>
  <c r="I91" i="30"/>
  <c r="J91" i="30" s="1"/>
  <c r="AD91" i="30"/>
  <c r="AE91" i="30" s="1"/>
  <c r="AX77" i="30"/>
  <c r="AS77" i="30"/>
  <c r="E77" i="30"/>
  <c r="E76" i="30"/>
  <c r="BB74" i="30"/>
  <c r="Z74" i="30"/>
  <c r="L74" i="30"/>
  <c r="AD90" i="30"/>
  <c r="AE90" i="30" s="1"/>
  <c r="I84" i="30"/>
  <c r="J84" i="30" s="1"/>
  <c r="B74" i="30"/>
  <c r="I81" i="30" s="1"/>
  <c r="AK91" i="30"/>
  <c r="AL91" i="30" s="1"/>
  <c r="BB76" i="30"/>
  <c r="H74" i="30"/>
  <c r="O79" i="30" s="1"/>
  <c r="R74" i="30"/>
  <c r="Y78" i="30" s="1"/>
  <c r="AW74" i="30"/>
  <c r="AS74" i="30"/>
  <c r="AA74" i="30"/>
  <c r="AK74" i="30"/>
  <c r="AB74" i="30"/>
  <c r="AI76" i="30" s="1"/>
  <c r="AE74" i="30"/>
  <c r="AL76" i="30" s="1"/>
  <c r="O74" i="30"/>
  <c r="V77" i="30" s="1"/>
  <c r="K74" i="30"/>
  <c r="R76" i="30" s="1"/>
  <c r="I74" i="30"/>
  <c r="P76" i="30" s="1"/>
  <c r="AJ74" i="30"/>
  <c r="AF74" i="30"/>
  <c r="D74" i="30"/>
  <c r="K77" i="30" s="1"/>
  <c r="G74" i="30"/>
  <c r="AR74" i="30"/>
  <c r="AY76" i="30" s="1"/>
  <c r="AC74" i="30"/>
  <c r="AJ78" i="30" s="1"/>
  <c r="AG74" i="30"/>
  <c r="AN78" i="30" s="1"/>
  <c r="T74" i="30"/>
  <c r="W74" i="30"/>
  <c r="V76" i="30"/>
  <c r="R78" i="30"/>
  <c r="AO74" i="30"/>
  <c r="Y74" i="30"/>
  <c r="U74" i="30"/>
  <c r="Q74" i="30"/>
  <c r="G76" i="30"/>
  <c r="C76" i="30"/>
  <c r="BD74" i="30"/>
  <c r="AZ74" i="30"/>
  <c r="AV74" i="30"/>
  <c r="X74" i="30"/>
  <c r="P74" i="30"/>
  <c r="F76" i="30"/>
  <c r="B76" i="30"/>
  <c r="BC74" i="30"/>
  <c r="AY74" i="30"/>
  <c r="AI74" i="30"/>
  <c r="CB8" i="30"/>
  <c r="BZ3" i="30"/>
  <c r="AE70" i="30"/>
  <c r="CP70" i="30" s="1"/>
  <c r="AO70" i="30"/>
  <c r="AE68" i="30"/>
  <c r="CP68" i="30" s="1"/>
  <c r="AO68" i="30"/>
  <c r="DH65" i="30"/>
  <c r="DJ65" i="30"/>
  <c r="DE70" i="30"/>
  <c r="DG70" i="30"/>
  <c r="U76" i="30"/>
  <c r="U77" i="30"/>
  <c r="U78" i="30"/>
  <c r="U81" i="30"/>
  <c r="U79" i="30"/>
  <c r="U80" i="30"/>
  <c r="Q76" i="30"/>
  <c r="Q77" i="30"/>
  <c r="Q81" i="30"/>
  <c r="Q79" i="30"/>
  <c r="Q80" i="30"/>
  <c r="M76" i="30"/>
  <c r="M78" i="30"/>
  <c r="M81" i="30"/>
  <c r="M79" i="30"/>
  <c r="I76" i="30"/>
  <c r="I77" i="30"/>
  <c r="I78" i="30"/>
  <c r="I79" i="30"/>
  <c r="I80" i="30"/>
  <c r="DG69" i="30"/>
  <c r="AN69" i="30"/>
  <c r="DE68" i="30"/>
  <c r="AX66" i="30"/>
  <c r="DI66" i="30" s="1"/>
  <c r="AO66" i="30"/>
  <c r="AG65" i="30"/>
  <c r="AH65" i="30" s="1"/>
  <c r="AN65" i="30"/>
  <c r="AN64" i="30"/>
  <c r="AJ63" i="30"/>
  <c r="AK63" i="30" s="1"/>
  <c r="AN62" i="30"/>
  <c r="AM62" i="30"/>
  <c r="DE59" i="30"/>
  <c r="AJ58" i="30"/>
  <c r="AK58" i="30" s="1"/>
  <c r="DK58" i="30"/>
  <c r="B58" i="30"/>
  <c r="AG57" i="30"/>
  <c r="AH57" i="30" s="1"/>
  <c r="DG56" i="30"/>
  <c r="DE46" i="30"/>
  <c r="DE45" i="30"/>
  <c r="BB91" i="30"/>
  <c r="AN91" i="30"/>
  <c r="Z91" i="30"/>
  <c r="L91" i="30"/>
  <c r="BB90" i="30"/>
  <c r="AG90" i="30"/>
  <c r="E90" i="30"/>
  <c r="AG89" i="30"/>
  <c r="AG88" i="30"/>
  <c r="S88" i="30"/>
  <c r="BA91" i="30"/>
  <c r="AT91" i="30"/>
  <c r="Y91" i="30"/>
  <c r="K91" i="30"/>
  <c r="BA90" i="30"/>
  <c r="AT90" i="30"/>
  <c r="R90" i="30"/>
  <c r="D90" i="30"/>
  <c r="AF89" i="30"/>
  <c r="R89" i="30"/>
  <c r="AF88" i="30"/>
  <c r="BA87" i="30"/>
  <c r="Y86" i="30"/>
  <c r="AT84" i="30"/>
  <c r="AT83" i="30"/>
  <c r="K83" i="30"/>
  <c r="D82" i="30"/>
  <c r="AN70" i="30"/>
  <c r="AM67" i="30"/>
  <c r="AN66" i="30"/>
  <c r="DG64" i="30"/>
  <c r="AJ64" i="30"/>
  <c r="AK64" i="30" s="1"/>
  <c r="DE63" i="30"/>
  <c r="AJ62" i="30"/>
  <c r="AK62" i="30" s="1"/>
  <c r="DK62" i="30"/>
  <c r="B62" i="30"/>
  <c r="AG61" i="30"/>
  <c r="AH61" i="30" s="1"/>
  <c r="AO59" i="30"/>
  <c r="AE59" i="30"/>
  <c r="CP59" i="30" s="1"/>
  <c r="AJ57" i="30"/>
  <c r="AK57" i="30" s="1"/>
  <c r="AN57" i="30"/>
  <c r="DG52" i="30"/>
  <c r="AU91" i="30"/>
  <c r="AG91" i="30"/>
  <c r="S91" i="30"/>
  <c r="E91" i="30"/>
  <c r="AN90" i="30"/>
  <c r="Z90" i="30"/>
  <c r="BB89" i="30"/>
  <c r="AN89" i="30"/>
  <c r="S89" i="30"/>
  <c r="BB88" i="30"/>
  <c r="BB87" i="30"/>
  <c r="AM91" i="30"/>
  <c r="AF91" i="30"/>
  <c r="R91" i="30"/>
  <c r="D91" i="30"/>
  <c r="AM90" i="30"/>
  <c r="Y90" i="30"/>
  <c r="BA89" i="30"/>
  <c r="AM89" i="30"/>
  <c r="BA88" i="30"/>
  <c r="R88" i="30"/>
  <c r="BA86" i="30"/>
  <c r="K85" i="30"/>
  <c r="AM84" i="30"/>
  <c r="K84" i="30"/>
  <c r="AN68" i="30"/>
  <c r="AN67" i="30"/>
  <c r="AO63" i="30"/>
  <c r="AE63" i="30"/>
  <c r="CP63" i="30" s="1"/>
  <c r="DE58" i="30"/>
  <c r="AM57" i="30"/>
  <c r="DG57" i="30" s="1"/>
  <c r="DE54" i="30"/>
  <c r="DJ53" i="30"/>
  <c r="DH53" i="30"/>
  <c r="DK68" i="30"/>
  <c r="AJ68" i="30"/>
  <c r="AK68" i="30" s="1"/>
  <c r="AM68" i="30"/>
  <c r="DG68" i="30" s="1"/>
  <c r="DG67" i="30"/>
  <c r="AG63" i="30"/>
  <c r="AH63" i="30" s="1"/>
  <c r="AX62" i="30"/>
  <c r="DI62" i="30" s="1"/>
  <c r="AG62" i="30"/>
  <c r="AH62" i="30" s="1"/>
  <c r="AM61" i="30"/>
  <c r="DG61" i="30" s="1"/>
  <c r="DJ60" i="30"/>
  <c r="AN60" i="30"/>
  <c r="AJ59" i="30"/>
  <c r="AK59" i="30" s="1"/>
  <c r="AN58" i="30"/>
  <c r="AM58" i="30"/>
  <c r="DG58" i="30" s="1"/>
  <c r="DE50" i="30"/>
  <c r="DJ49" i="30"/>
  <c r="DH49" i="30"/>
  <c r="AG64" i="30"/>
  <c r="AH64" i="30" s="1"/>
  <c r="AN63" i="30"/>
  <c r="AG60" i="30"/>
  <c r="AH60" i="30" s="1"/>
  <c r="AN59" i="30"/>
  <c r="AG56" i="30"/>
  <c r="AH56" i="30" s="1"/>
  <c r="AN55" i="30"/>
  <c r="AM54" i="30"/>
  <c r="DG54" i="30" s="1"/>
  <c r="AG52" i="30"/>
  <c r="AH52" i="30" s="1"/>
  <c r="AN51" i="30"/>
  <c r="AM50" i="30"/>
  <c r="DG50" i="30" s="1"/>
  <c r="AG48" i="30"/>
  <c r="AH48" i="30" s="1"/>
  <c r="AN47" i="30"/>
  <c r="AM46" i="30"/>
  <c r="AN46" i="30" s="1"/>
  <c r="AG43" i="30"/>
  <c r="AH43" i="30" s="1"/>
  <c r="DK42" i="30"/>
  <c r="AJ40" i="30"/>
  <c r="CN38" i="30"/>
  <c r="CN37" i="30"/>
  <c r="AM63" i="30"/>
  <c r="DG63" i="30" s="1"/>
  <c r="AM59" i="30"/>
  <c r="DG59" i="30" s="1"/>
  <c r="AM55" i="30"/>
  <c r="DG55" i="30" s="1"/>
  <c r="AE55" i="30"/>
  <c r="CP55" i="30" s="1"/>
  <c r="B54" i="30"/>
  <c r="AM51" i="30"/>
  <c r="DG51" i="30" s="1"/>
  <c r="AE51" i="30"/>
  <c r="CP51" i="30" s="1"/>
  <c r="B50" i="30"/>
  <c r="AM47" i="30"/>
  <c r="DG47" i="30" s="1"/>
  <c r="AE47" i="30"/>
  <c r="CP47" i="30" s="1"/>
  <c r="DK45" i="30"/>
  <c r="AO45" i="30"/>
  <c r="AJ44" i="30"/>
  <c r="AK44" i="30" s="1"/>
  <c r="AG42" i="30"/>
  <c r="AH42" i="30" s="1"/>
  <c r="DK41" i="30"/>
  <c r="AG41" i="30"/>
  <c r="AH41" i="30" s="1"/>
  <c r="AG54" i="30"/>
  <c r="AH54" i="30" s="1"/>
  <c r="AG50" i="30"/>
  <c r="AH50" i="30" s="1"/>
  <c r="AJ41" i="30"/>
  <c r="AM45" i="30"/>
  <c r="AN45" i="30" s="1"/>
  <c r="AM41" i="30"/>
  <c r="AM40" i="30"/>
  <c r="AM39" i="30"/>
  <c r="AM36" i="30"/>
  <c r="AM35" i="30"/>
  <c r="AG37" i="30"/>
  <c r="AJ33" i="30"/>
  <c r="AM30" i="30"/>
  <c r="AJ27" i="30"/>
  <c r="AG29" i="30"/>
  <c r="DK31" i="30"/>
  <c r="AJ30" i="30"/>
  <c r="AG32" i="30"/>
  <c r="AM33" i="30"/>
  <c r="AG33" i="30"/>
  <c r="AG30" i="30"/>
  <c r="AG27" i="30"/>
  <c r="AJ24" i="30"/>
  <c r="DI22" i="30"/>
  <c r="CJ22" i="30"/>
  <c r="DI21" i="30"/>
  <c r="CF21" i="30"/>
  <c r="W89" i="30" s="1"/>
  <c r="CH20" i="30"/>
  <c r="AG26" i="30"/>
  <c r="CH22" i="30"/>
  <c r="AG24" i="30"/>
  <c r="AM24" i="30"/>
  <c r="AG25" i="30"/>
  <c r="AG16" i="30"/>
  <c r="CP26" i="30"/>
  <c r="AX24" i="30"/>
  <c r="AO79" i="30" s="1"/>
  <c r="AG28" i="30"/>
  <c r="AG20" i="30"/>
  <c r="AG23" i="30"/>
  <c r="AG19" i="30"/>
  <c r="AM22" i="30"/>
  <c r="CD13" i="30"/>
  <c r="P85" i="30" s="1"/>
  <c r="DI13" i="30"/>
  <c r="CD12" i="30"/>
  <c r="P84" i="30" s="1"/>
  <c r="DI12" i="30"/>
  <c r="DI16" i="30"/>
  <c r="CF16" i="30"/>
  <c r="AJ17" i="30"/>
  <c r="AG17" i="30"/>
  <c r="AM17" i="30"/>
  <c r="AJ18" i="30"/>
  <c r="AG14" i="30"/>
  <c r="AX14" i="30"/>
  <c r="Z79" i="30" s="1"/>
  <c r="CP12" i="30"/>
  <c r="CP11" i="30"/>
  <c r="AJ7" i="30"/>
  <c r="DM6" i="30"/>
  <c r="DM5" i="30"/>
  <c r="DM9" i="30"/>
  <c r="DM2" i="30"/>
  <c r="DM4" i="30"/>
  <c r="DM8" i="30"/>
  <c r="DM3" i="30"/>
  <c r="DM7" i="30"/>
  <c r="AG10" i="30"/>
  <c r="AG11" i="30"/>
  <c r="AG13" i="30"/>
  <c r="AM7" i="30"/>
  <c r="AM12" i="30"/>
  <c r="AM9" i="30"/>
  <c r="AG7" i="30"/>
  <c r="CB7" i="30"/>
  <c r="DI7" i="30"/>
  <c r="BZ7" i="30"/>
  <c r="AG6" i="30"/>
  <c r="DA2" i="30"/>
  <c r="CW2" i="30"/>
  <c r="CS2" i="30"/>
  <c r="DN1" i="30"/>
  <c r="AM4" i="30"/>
  <c r="CV2" i="30"/>
  <c r="CR2" i="30"/>
  <c r="DQ1" i="30"/>
  <c r="DK8" i="30"/>
  <c r="DR7" i="30"/>
  <c r="DC2" i="30"/>
  <c r="CY2" i="30"/>
  <c r="CU2" i="30"/>
  <c r="AM2" i="30" s="1"/>
  <c r="CQ2" i="30"/>
  <c r="AG2" i="30" s="1"/>
  <c r="DB2" i="30"/>
  <c r="CX2" i="30"/>
  <c r="AJ3" i="30" s="1"/>
  <c r="B61" i="29"/>
  <c r="P37" i="4"/>
  <c r="M36" i="4"/>
  <c r="M37" i="4"/>
  <c r="O37" i="4"/>
  <c r="O26" i="4"/>
  <c r="L26" i="4"/>
  <c r="O17" i="4"/>
  <c r="L17" i="4"/>
  <c r="R30" i="4"/>
  <c r="S30" i="4"/>
  <c r="T30" i="4"/>
  <c r="U30" i="4"/>
  <c r="R31" i="4"/>
  <c r="S31" i="4"/>
  <c r="T31" i="4"/>
  <c r="U31" i="4"/>
  <c r="R32" i="4"/>
  <c r="S32" i="4"/>
  <c r="T32" i="4"/>
  <c r="U32" i="4"/>
  <c r="R33" i="4"/>
  <c r="S33" i="4"/>
  <c r="T33" i="4"/>
  <c r="U33" i="4"/>
  <c r="R34" i="4"/>
  <c r="S34" i="4"/>
  <c r="T34" i="4"/>
  <c r="U34" i="4"/>
  <c r="R35" i="4"/>
  <c r="S35" i="4"/>
  <c r="T35" i="4"/>
  <c r="U35" i="4"/>
  <c r="R36" i="4"/>
  <c r="S36" i="4"/>
  <c r="T36" i="4"/>
  <c r="U36" i="4"/>
  <c r="R37" i="4"/>
  <c r="S37" i="4"/>
  <c r="T37" i="4"/>
  <c r="U37" i="4"/>
  <c r="R38" i="4"/>
  <c r="S38" i="4"/>
  <c r="T38" i="4"/>
  <c r="U38" i="4"/>
  <c r="R17" i="4"/>
  <c r="S17" i="4"/>
  <c r="T17" i="4"/>
  <c r="U17" i="4"/>
  <c r="R18" i="4"/>
  <c r="S18" i="4"/>
  <c r="T18" i="4"/>
  <c r="U18" i="4"/>
  <c r="R19" i="4"/>
  <c r="S19" i="4"/>
  <c r="T19" i="4"/>
  <c r="U19" i="4"/>
  <c r="R20" i="4"/>
  <c r="S20" i="4"/>
  <c r="T20" i="4"/>
  <c r="U20" i="4"/>
  <c r="R21" i="4"/>
  <c r="S21" i="4"/>
  <c r="T21" i="4"/>
  <c r="U21" i="4"/>
  <c r="R22" i="4"/>
  <c r="S22" i="4"/>
  <c r="T22" i="4"/>
  <c r="U22" i="4"/>
  <c r="R23" i="4"/>
  <c r="S23" i="4"/>
  <c r="T23" i="4"/>
  <c r="U23" i="4"/>
  <c r="R24" i="4"/>
  <c r="S24" i="4"/>
  <c r="T24" i="4"/>
  <c r="U24" i="4"/>
  <c r="R25" i="4"/>
  <c r="S25" i="4"/>
  <c r="T25" i="4"/>
  <c r="U25" i="4"/>
  <c r="R26" i="4"/>
  <c r="S26" i="4"/>
  <c r="T26" i="4"/>
  <c r="U26" i="4"/>
  <c r="R27" i="4"/>
  <c r="S27" i="4"/>
  <c r="T27" i="4"/>
  <c r="U27" i="4"/>
  <c r="R28" i="4"/>
  <c r="S28" i="4"/>
  <c r="T28" i="4"/>
  <c r="U28" i="4"/>
  <c r="R29" i="4"/>
  <c r="S29" i="4"/>
  <c r="T29" i="4"/>
  <c r="U29" i="4"/>
  <c r="L38" i="4"/>
  <c r="L39" i="4"/>
  <c r="E17" i="4"/>
  <c r="E19" i="4"/>
  <c r="E26" i="4"/>
  <c r="E27" i="4"/>
  <c r="E28" i="4"/>
  <c r="E29" i="4"/>
  <c r="E30" i="4"/>
  <c r="E31" i="4"/>
  <c r="E32" i="4"/>
  <c r="E33" i="4"/>
  <c r="E34" i="4"/>
  <c r="A17" i="4"/>
  <c r="B17" i="4"/>
  <c r="C17" i="4"/>
  <c r="D17" i="4"/>
  <c r="A18" i="4"/>
  <c r="B18" i="4"/>
  <c r="C18" i="4"/>
  <c r="D18" i="4"/>
  <c r="A19" i="4"/>
  <c r="B19" i="4"/>
  <c r="C19" i="4"/>
  <c r="D19" i="4"/>
  <c r="A20" i="4"/>
  <c r="B20" i="4"/>
  <c r="C20" i="4"/>
  <c r="D20" i="4"/>
  <c r="A21" i="4"/>
  <c r="B21" i="4"/>
  <c r="C21" i="4"/>
  <c r="D21" i="4"/>
  <c r="A27" i="4"/>
  <c r="B27" i="4"/>
  <c r="C27" i="4"/>
  <c r="D27" i="4"/>
  <c r="D28" i="4"/>
  <c r="A23" i="4"/>
  <c r="B23" i="4"/>
  <c r="C23" i="4"/>
  <c r="D23" i="4"/>
  <c r="A24" i="4"/>
  <c r="B24" i="4"/>
  <c r="C24" i="4"/>
  <c r="D24" i="4"/>
  <c r="A25" i="4"/>
  <c r="B25" i="4"/>
  <c r="C25" i="4"/>
  <c r="D25" i="4"/>
  <c r="A26" i="4"/>
  <c r="B26" i="4"/>
  <c r="C26" i="4"/>
  <c r="D26" i="4"/>
  <c r="D33" i="4"/>
  <c r="D34" i="4"/>
  <c r="A35" i="4"/>
  <c r="B35" i="4"/>
  <c r="C35" i="4"/>
  <c r="D35" i="4"/>
  <c r="A36" i="4"/>
  <c r="B36" i="4"/>
  <c r="C36" i="4"/>
  <c r="D36" i="4"/>
  <c r="A28" i="4"/>
  <c r="B28" i="4"/>
  <c r="C28" i="4"/>
  <c r="D37" i="4"/>
  <c r="A29" i="4"/>
  <c r="B29" i="4"/>
  <c r="C29" i="4"/>
  <c r="D38" i="4"/>
  <c r="A30" i="4"/>
  <c r="B30" i="4"/>
  <c r="C30" i="4"/>
  <c r="D39" i="4"/>
  <c r="A31" i="4"/>
  <c r="B31" i="4"/>
  <c r="C31" i="4"/>
  <c r="A32" i="4"/>
  <c r="B32" i="4"/>
  <c r="C32" i="4"/>
  <c r="A33" i="4"/>
  <c r="B33" i="4"/>
  <c r="C33" i="4"/>
  <c r="A34" i="4"/>
  <c r="B34" i="4"/>
  <c r="C34" i="4"/>
  <c r="A1" i="4"/>
  <c r="B1" i="4"/>
  <c r="C1" i="4"/>
  <c r="D1" i="4"/>
  <c r="E1" i="4"/>
  <c r="F1" i="4"/>
  <c r="G1" i="4"/>
  <c r="H1" i="4"/>
  <c r="J1" i="4"/>
  <c r="M1" i="4"/>
  <c r="N1" i="4"/>
  <c r="O1" i="4"/>
  <c r="P1" i="4"/>
  <c r="Q1" i="4"/>
  <c r="R1" i="4"/>
  <c r="S1" i="4"/>
  <c r="T1" i="4"/>
  <c r="U1" i="4"/>
  <c r="A2" i="4"/>
  <c r="B2" i="4"/>
  <c r="G2" i="4"/>
  <c r="Q2" i="4"/>
  <c r="R2" i="4"/>
  <c r="S2" i="4"/>
  <c r="T2" i="4"/>
  <c r="U2" i="4"/>
  <c r="B3" i="4"/>
  <c r="C3" i="4"/>
  <c r="F3" i="4"/>
  <c r="M3" i="4"/>
  <c r="Q3" i="4"/>
  <c r="R3" i="4"/>
  <c r="S3" i="4"/>
  <c r="T3" i="4"/>
  <c r="U3" i="4"/>
  <c r="A4" i="4"/>
  <c r="B4" i="4"/>
  <c r="C4" i="4"/>
  <c r="D4" i="4"/>
  <c r="E4" i="4"/>
  <c r="F4" i="4"/>
  <c r="G4" i="4"/>
  <c r="H4" i="4"/>
  <c r="I4" i="4"/>
  <c r="J4" i="4"/>
  <c r="K4" i="4"/>
  <c r="L4" i="4"/>
  <c r="M4" i="4"/>
  <c r="N4" i="4"/>
  <c r="O4" i="4"/>
  <c r="P4" i="4"/>
  <c r="Q4" i="4"/>
  <c r="R4" i="4"/>
  <c r="S4" i="4"/>
  <c r="T4" i="4"/>
  <c r="U4" i="4"/>
  <c r="A5" i="4"/>
  <c r="B5" i="4"/>
  <c r="C5" i="4"/>
  <c r="D5" i="4"/>
  <c r="E5" i="4"/>
  <c r="F5" i="4"/>
  <c r="G5" i="4"/>
  <c r="H5" i="4"/>
  <c r="I5" i="4"/>
  <c r="J5" i="4"/>
  <c r="K5" i="4"/>
  <c r="L5" i="4"/>
  <c r="M5" i="4"/>
  <c r="N5" i="4"/>
  <c r="O5" i="4"/>
  <c r="P5" i="4"/>
  <c r="Q5" i="4"/>
  <c r="R5" i="4"/>
  <c r="S5" i="4"/>
  <c r="T5" i="4"/>
  <c r="U5" i="4"/>
  <c r="B6" i="4"/>
  <c r="C6" i="4"/>
  <c r="D6" i="4"/>
  <c r="E6" i="4"/>
  <c r="F6" i="4"/>
  <c r="G6" i="4"/>
  <c r="H6" i="4"/>
  <c r="I6" i="4"/>
  <c r="J6" i="4"/>
  <c r="K6" i="4"/>
  <c r="L6" i="4"/>
  <c r="M6" i="4"/>
  <c r="N6" i="4"/>
  <c r="O6" i="4"/>
  <c r="P6" i="4"/>
  <c r="Q6" i="4"/>
  <c r="S6" i="4"/>
  <c r="T6" i="4"/>
  <c r="U6" i="4"/>
  <c r="B7" i="4"/>
  <c r="C7" i="4"/>
  <c r="D7" i="4"/>
  <c r="E7" i="4"/>
  <c r="F7" i="4"/>
  <c r="G7" i="4"/>
  <c r="H7" i="4"/>
  <c r="I7" i="4"/>
  <c r="J7" i="4"/>
  <c r="K7" i="4"/>
  <c r="L7" i="4"/>
  <c r="M7" i="4"/>
  <c r="N7" i="4"/>
  <c r="O7" i="4"/>
  <c r="P7" i="4"/>
  <c r="Q7" i="4"/>
  <c r="S7" i="4"/>
  <c r="T7" i="4"/>
  <c r="U7" i="4"/>
  <c r="B8" i="4"/>
  <c r="C8" i="4"/>
  <c r="D8" i="4"/>
  <c r="E8" i="4"/>
  <c r="F8" i="4"/>
  <c r="G8" i="4"/>
  <c r="H8" i="4"/>
  <c r="I8" i="4"/>
  <c r="J8" i="4"/>
  <c r="K8" i="4"/>
  <c r="L8" i="4"/>
  <c r="M8" i="4"/>
  <c r="N8" i="4"/>
  <c r="O8" i="4"/>
  <c r="P8" i="4"/>
  <c r="Q8" i="4"/>
  <c r="S8" i="4"/>
  <c r="T8" i="4"/>
  <c r="U8" i="4"/>
  <c r="B9" i="4"/>
  <c r="C9" i="4"/>
  <c r="D9" i="4"/>
  <c r="E9" i="4"/>
  <c r="F9" i="4"/>
  <c r="G9" i="4"/>
  <c r="H9" i="4"/>
  <c r="I9" i="4"/>
  <c r="J9" i="4"/>
  <c r="K9" i="4"/>
  <c r="L9" i="4"/>
  <c r="M9" i="4"/>
  <c r="N9" i="4"/>
  <c r="O9" i="4"/>
  <c r="P9" i="4"/>
  <c r="Q9" i="4"/>
  <c r="S9" i="4"/>
  <c r="T9" i="4"/>
  <c r="U9" i="4"/>
  <c r="B10" i="4"/>
  <c r="C10" i="4"/>
  <c r="D10" i="4"/>
  <c r="E10" i="4"/>
  <c r="F10" i="4"/>
  <c r="G10" i="4"/>
  <c r="H10" i="4"/>
  <c r="I10" i="4"/>
  <c r="J10" i="4"/>
  <c r="K10" i="4"/>
  <c r="L10" i="4"/>
  <c r="M10" i="4"/>
  <c r="N10" i="4"/>
  <c r="O10" i="4"/>
  <c r="P10" i="4"/>
  <c r="Q10" i="4"/>
  <c r="S10" i="4"/>
  <c r="T10" i="4"/>
  <c r="U10" i="4"/>
  <c r="B11" i="4"/>
  <c r="C11" i="4"/>
  <c r="D11" i="4"/>
  <c r="E11" i="4"/>
  <c r="F11" i="4"/>
  <c r="G11" i="4"/>
  <c r="H11" i="4"/>
  <c r="I11" i="4"/>
  <c r="J11" i="4"/>
  <c r="K11" i="4"/>
  <c r="L11" i="4"/>
  <c r="M11" i="4"/>
  <c r="N11" i="4"/>
  <c r="O11" i="4"/>
  <c r="P11" i="4"/>
  <c r="Q11" i="4"/>
  <c r="S11" i="4"/>
  <c r="T11" i="4"/>
  <c r="U11" i="4"/>
  <c r="B12" i="4"/>
  <c r="C12" i="4"/>
  <c r="D12" i="4"/>
  <c r="E12" i="4"/>
  <c r="F12" i="4"/>
  <c r="G12" i="4"/>
  <c r="H12" i="4"/>
  <c r="I12" i="4"/>
  <c r="J12" i="4"/>
  <c r="K12" i="4"/>
  <c r="L12" i="4"/>
  <c r="M12" i="4"/>
  <c r="N12" i="4"/>
  <c r="O12" i="4"/>
  <c r="P12" i="4"/>
  <c r="Q12" i="4"/>
  <c r="S12" i="4"/>
  <c r="T12" i="4"/>
  <c r="U12" i="4"/>
  <c r="B13" i="4"/>
  <c r="C13" i="4"/>
  <c r="D13" i="4"/>
  <c r="E13" i="4"/>
  <c r="F13" i="4"/>
  <c r="G13" i="4"/>
  <c r="H13" i="4"/>
  <c r="I13" i="4"/>
  <c r="J13" i="4"/>
  <c r="K13" i="4"/>
  <c r="L13" i="4"/>
  <c r="M13" i="4"/>
  <c r="N13" i="4"/>
  <c r="O13" i="4"/>
  <c r="P13" i="4"/>
  <c r="Q13" i="4"/>
  <c r="S13" i="4"/>
  <c r="T13" i="4"/>
  <c r="U13" i="4"/>
  <c r="B14" i="4"/>
  <c r="C14" i="4"/>
  <c r="D14" i="4"/>
  <c r="E14" i="4"/>
  <c r="F14" i="4"/>
  <c r="G14" i="4"/>
  <c r="H14" i="4"/>
  <c r="I14" i="4"/>
  <c r="J14" i="4"/>
  <c r="K14" i="4"/>
  <c r="L14" i="4"/>
  <c r="M14" i="4"/>
  <c r="N14" i="4"/>
  <c r="O14" i="4"/>
  <c r="P14" i="4"/>
  <c r="Q14" i="4"/>
  <c r="S14" i="4"/>
  <c r="T14" i="4"/>
  <c r="U14" i="4"/>
  <c r="B15" i="4"/>
  <c r="C15" i="4"/>
  <c r="D15" i="4"/>
  <c r="E15" i="4"/>
  <c r="F15" i="4"/>
  <c r="G15" i="4"/>
  <c r="H15" i="4"/>
  <c r="I15" i="4"/>
  <c r="J15" i="4"/>
  <c r="K15" i="4"/>
  <c r="L15" i="4"/>
  <c r="M15" i="4"/>
  <c r="N15" i="4"/>
  <c r="O15" i="4"/>
  <c r="P15" i="4"/>
  <c r="Q15" i="4"/>
  <c r="S15" i="4"/>
  <c r="T15" i="4"/>
  <c r="U15" i="4"/>
  <c r="Z16" i="27"/>
  <c r="Z17" i="27"/>
  <c r="Z18" i="27"/>
  <c r="Z19" i="27"/>
  <c r="Z20" i="27"/>
  <c r="Z21" i="27"/>
  <c r="Z22" i="27"/>
  <c r="Z23" i="27"/>
  <c r="Z24" i="27"/>
  <c r="Z25" i="27"/>
  <c r="O127" i="27"/>
  <c r="CU126" i="27"/>
  <c r="CT126" i="27"/>
  <c r="CS126" i="27"/>
  <c r="CR126" i="27"/>
  <c r="CQ126" i="27"/>
  <c r="CP126" i="27"/>
  <c r="CO126" i="27"/>
  <c r="CN126" i="27"/>
  <c r="CM126" i="27"/>
  <c r="Q126" i="27"/>
  <c r="O126" i="27"/>
  <c r="M126" i="27"/>
  <c r="L126" i="27"/>
  <c r="K126" i="27"/>
  <c r="J126" i="27"/>
  <c r="I126" i="27"/>
  <c r="H126" i="27"/>
  <c r="G126" i="27"/>
  <c r="F126" i="27"/>
  <c r="E126" i="27"/>
  <c r="O124" i="27"/>
  <c r="N124" i="27"/>
  <c r="M124" i="27"/>
  <c r="L124" i="27"/>
  <c r="K124" i="27"/>
  <c r="J124" i="27"/>
  <c r="I124" i="27"/>
  <c r="H124" i="27"/>
  <c r="G124" i="27"/>
  <c r="F124" i="27"/>
  <c r="CN123" i="27"/>
  <c r="R119" i="27"/>
  <c r="R118" i="27"/>
  <c r="R117" i="27"/>
  <c r="R116" i="27"/>
  <c r="R115" i="27"/>
  <c r="R114" i="27"/>
  <c r="R113" i="27"/>
  <c r="R112" i="27"/>
  <c r="R111" i="27"/>
  <c r="R110" i="27"/>
  <c r="R109" i="27"/>
  <c r="R108" i="27"/>
  <c r="R107" i="27"/>
  <c r="R106" i="27"/>
  <c r="R105" i="27"/>
  <c r="R104" i="27"/>
  <c r="R103" i="27"/>
  <c r="R102" i="27"/>
  <c r="R101" i="27"/>
  <c r="R100" i="27"/>
  <c r="R99" i="27"/>
  <c r="CN98" i="27"/>
  <c r="R98" i="27"/>
  <c r="H98" i="27"/>
  <c r="G98" i="27"/>
  <c r="F98" i="27"/>
  <c r="E98" i="27"/>
  <c r="CN97" i="27"/>
  <c r="R97" i="27"/>
  <c r="H97" i="27"/>
  <c r="G97" i="27"/>
  <c r="F97" i="27"/>
  <c r="E97" i="27"/>
  <c r="R96" i="27"/>
  <c r="R95" i="27"/>
  <c r="R94" i="27"/>
  <c r="R93" i="27"/>
  <c r="R92" i="27"/>
  <c r="R91" i="27"/>
  <c r="R90" i="27"/>
  <c r="R89" i="27"/>
  <c r="R88" i="27"/>
  <c r="R87" i="27"/>
  <c r="BI86" i="27"/>
  <c r="R85" i="27"/>
  <c r="DU84" i="27"/>
  <c r="CU84" i="27"/>
  <c r="CT84" i="27"/>
  <c r="CS84" i="27"/>
  <c r="CR84" i="27"/>
  <c r="CQ84" i="27"/>
  <c r="CP84" i="27"/>
  <c r="CO84" i="27"/>
  <c r="CN84" i="27"/>
  <c r="CM84" i="27"/>
  <c r="CK84" i="27" s="1"/>
  <c r="P84" i="27"/>
  <c r="DU83" i="27"/>
  <c r="CU83" i="27"/>
  <c r="CT83" i="27"/>
  <c r="CS83" i="27"/>
  <c r="CR83" i="27"/>
  <c r="CQ83" i="27"/>
  <c r="CP83" i="27"/>
  <c r="CO83" i="27"/>
  <c r="CN83" i="27"/>
  <c r="CM83" i="27"/>
  <c r="P83" i="27"/>
  <c r="DU82" i="27"/>
  <c r="CU82" i="27"/>
  <c r="CT82" i="27"/>
  <c r="CS82" i="27"/>
  <c r="CR82" i="27"/>
  <c r="CQ82" i="27"/>
  <c r="CP82" i="27"/>
  <c r="CO82" i="27"/>
  <c r="CN82" i="27"/>
  <c r="CM82" i="27"/>
  <c r="P82" i="27"/>
  <c r="DU81" i="27"/>
  <c r="CU81" i="27"/>
  <c r="CT81" i="27"/>
  <c r="CS81" i="27"/>
  <c r="CR81" i="27"/>
  <c r="CQ81" i="27"/>
  <c r="CP81" i="27"/>
  <c r="CO81" i="27"/>
  <c r="CN81" i="27"/>
  <c r="CM81" i="27"/>
  <c r="Q81" i="27" s="1"/>
  <c r="P81" i="27"/>
  <c r="DU80" i="27"/>
  <c r="CU80" i="27"/>
  <c r="CT80" i="27"/>
  <c r="CS80" i="27"/>
  <c r="CR80" i="27"/>
  <c r="CQ80" i="27"/>
  <c r="CP80" i="27"/>
  <c r="CO80" i="27"/>
  <c r="CN80" i="27"/>
  <c r="CM80" i="27"/>
  <c r="Q80" i="27" s="1"/>
  <c r="P80" i="27"/>
  <c r="DU79" i="27"/>
  <c r="CU79" i="27"/>
  <c r="CT79" i="27"/>
  <c r="CS79" i="27"/>
  <c r="CR79" i="27"/>
  <c r="CQ79" i="27"/>
  <c r="CP79" i="27"/>
  <c r="CO79" i="27"/>
  <c r="CN79" i="27"/>
  <c r="CM79" i="27"/>
  <c r="Q79" i="27" s="1"/>
  <c r="CK79" i="27"/>
  <c r="P79" i="27"/>
  <c r="DU78" i="27"/>
  <c r="CU78" i="27"/>
  <c r="CT78" i="27"/>
  <c r="CS78" i="27"/>
  <c r="CR78" i="27"/>
  <c r="CQ78" i="27"/>
  <c r="CP78" i="27"/>
  <c r="CO78" i="27"/>
  <c r="Q78" i="27" s="1"/>
  <c r="CN78" i="27"/>
  <c r="CV78" i="27" s="1"/>
  <c r="CM78" i="27"/>
  <c r="CK78" i="27" s="1"/>
  <c r="P78" i="27"/>
  <c r="DU77" i="27"/>
  <c r="CU77" i="27"/>
  <c r="CT77" i="27"/>
  <c r="CS77" i="27"/>
  <c r="CR77" i="27"/>
  <c r="CQ77" i="27"/>
  <c r="CP77" i="27"/>
  <c r="CK77" i="27" s="1"/>
  <c r="CO77" i="27"/>
  <c r="CN77" i="27"/>
  <c r="CV77" i="27" s="1"/>
  <c r="CM77" i="27"/>
  <c r="Q77" i="27"/>
  <c r="P77" i="27"/>
  <c r="DU76" i="27"/>
  <c r="CU76" i="27"/>
  <c r="CT76" i="27"/>
  <c r="CS76" i="27"/>
  <c r="CR76" i="27"/>
  <c r="CQ76" i="27"/>
  <c r="CP76" i="27"/>
  <c r="CO76" i="27"/>
  <c r="CN76" i="27"/>
  <c r="CM76" i="27"/>
  <c r="P76" i="27"/>
  <c r="DU75" i="27"/>
  <c r="CU75" i="27"/>
  <c r="CT75" i="27"/>
  <c r="CS75" i="27"/>
  <c r="CR75" i="27"/>
  <c r="CQ75" i="27"/>
  <c r="CP75" i="27"/>
  <c r="CO75" i="27"/>
  <c r="CN75" i="27"/>
  <c r="CM75" i="27"/>
  <c r="P75" i="27"/>
  <c r="DU74" i="27"/>
  <c r="CU74" i="27"/>
  <c r="CT74" i="27"/>
  <c r="CS74" i="27"/>
  <c r="CR74" i="27"/>
  <c r="CQ74" i="27"/>
  <c r="CP74" i="27"/>
  <c r="CO74" i="27"/>
  <c r="CN74" i="27"/>
  <c r="CM74" i="27"/>
  <c r="Q74" i="27" s="1"/>
  <c r="P74" i="27"/>
  <c r="DU73" i="27"/>
  <c r="CU73" i="27"/>
  <c r="CT73" i="27"/>
  <c r="CS73" i="27"/>
  <c r="CR73" i="27"/>
  <c r="CQ73" i="27"/>
  <c r="CP73" i="27"/>
  <c r="CO73" i="27"/>
  <c r="CN73" i="27"/>
  <c r="CM73" i="27"/>
  <c r="CK73" i="27" s="1"/>
  <c r="Q73" i="27"/>
  <c r="P73" i="27"/>
  <c r="DU72" i="27"/>
  <c r="CU72" i="27"/>
  <c r="CT72" i="27"/>
  <c r="CS72" i="27"/>
  <c r="CR72" i="27"/>
  <c r="CQ72" i="27"/>
  <c r="CP72" i="27"/>
  <c r="CO72" i="27"/>
  <c r="CN72" i="27"/>
  <c r="CM72" i="27"/>
  <c r="CK72" i="27" s="1"/>
  <c r="P72" i="27"/>
  <c r="DU71" i="27"/>
  <c r="CU71" i="27"/>
  <c r="CT71" i="27"/>
  <c r="CS71" i="27"/>
  <c r="CR71" i="27"/>
  <c r="CQ71" i="27"/>
  <c r="CP71" i="27"/>
  <c r="CO71" i="27"/>
  <c r="CN71" i="27"/>
  <c r="CM71" i="27"/>
  <c r="P71" i="27"/>
  <c r="DU70" i="27"/>
  <c r="CU70" i="27"/>
  <c r="CT70" i="27"/>
  <c r="CS70" i="27"/>
  <c r="CR70" i="27"/>
  <c r="CQ70" i="27"/>
  <c r="CP70" i="27"/>
  <c r="CO70" i="27"/>
  <c r="CN70" i="27"/>
  <c r="CM70" i="27"/>
  <c r="Q70" i="27" s="1"/>
  <c r="P70" i="27"/>
  <c r="DU69" i="27"/>
  <c r="CU69" i="27"/>
  <c r="CT69" i="27"/>
  <c r="CS69" i="27"/>
  <c r="CR69" i="27"/>
  <c r="CQ69" i="27"/>
  <c r="CP69" i="27"/>
  <c r="CO69" i="27"/>
  <c r="CN69" i="27"/>
  <c r="Q69" i="27" s="1"/>
  <c r="CM69" i="27"/>
  <c r="CK69" i="27" s="1"/>
  <c r="P69" i="27"/>
  <c r="DU68" i="27"/>
  <c r="CU68" i="27"/>
  <c r="CT68" i="27"/>
  <c r="CS68" i="27"/>
  <c r="CR68" i="27"/>
  <c r="CQ68" i="27"/>
  <c r="CP68" i="27"/>
  <c r="CO68" i="27"/>
  <c r="CN68" i="27"/>
  <c r="CV68" i="27" s="1"/>
  <c r="CM68" i="27"/>
  <c r="Q68" i="27" s="1"/>
  <c r="P68" i="27"/>
  <c r="DU67" i="27"/>
  <c r="CU67" i="27"/>
  <c r="CT67" i="27"/>
  <c r="CS67" i="27"/>
  <c r="CR67" i="27"/>
  <c r="CQ67" i="27"/>
  <c r="CP67" i="27"/>
  <c r="CO67" i="27"/>
  <c r="CN67" i="27"/>
  <c r="CV67" i="27" s="1"/>
  <c r="CM67" i="27"/>
  <c r="CK67" i="27" s="1"/>
  <c r="BR67" i="27"/>
  <c r="BQ67" i="27"/>
  <c r="BP67" i="27"/>
  <c r="BO67" i="27"/>
  <c r="BN67" i="27"/>
  <c r="BM67" i="27"/>
  <c r="BL67" i="27"/>
  <c r="BK67" i="27"/>
  <c r="BJ67" i="27"/>
  <c r="BI67" i="27"/>
  <c r="BH67" i="27"/>
  <c r="BG67" i="27"/>
  <c r="BF67" i="27"/>
  <c r="BE67" i="27"/>
  <c r="BD67" i="27"/>
  <c r="BC67" i="27"/>
  <c r="BB67" i="27"/>
  <c r="BA67" i="27"/>
  <c r="AZ67" i="27"/>
  <c r="AY67" i="27"/>
  <c r="AX67" i="27"/>
  <c r="AW67" i="27"/>
  <c r="AV67" i="27"/>
  <c r="AU67" i="27"/>
  <c r="AT67" i="27"/>
  <c r="AS67" i="27"/>
  <c r="AR67" i="27"/>
  <c r="AQ67" i="27"/>
  <c r="AP67" i="27"/>
  <c r="AO67" i="27"/>
  <c r="AN67" i="27"/>
  <c r="BT67" i="27" s="1"/>
  <c r="AM67" i="27"/>
  <c r="BS67" i="27" s="1"/>
  <c r="AK67" i="27"/>
  <c r="BU67" i="27" s="1"/>
  <c r="Q67" i="27"/>
  <c r="P67" i="27"/>
  <c r="DU66" i="27"/>
  <c r="CU66" i="27"/>
  <c r="CT66" i="27"/>
  <c r="CS66" i="27"/>
  <c r="CR66" i="27"/>
  <c r="CQ66" i="27"/>
  <c r="CP66" i="27"/>
  <c r="CO66" i="27"/>
  <c r="CN66" i="27"/>
  <c r="CM66" i="27"/>
  <c r="CK66" i="27" s="1"/>
  <c r="BR66" i="27"/>
  <c r="BQ66" i="27"/>
  <c r="BP66" i="27"/>
  <c r="BO66" i="27"/>
  <c r="BN66" i="27"/>
  <c r="BM66" i="27"/>
  <c r="BL66" i="27"/>
  <c r="BK66" i="27"/>
  <c r="BJ66" i="27"/>
  <c r="BI66" i="27"/>
  <c r="BH66" i="27"/>
  <c r="BG66" i="27"/>
  <c r="BF66" i="27"/>
  <c r="BE66" i="27"/>
  <c r="BD66" i="27"/>
  <c r="BC66" i="27"/>
  <c r="BB66" i="27"/>
  <c r="BA66" i="27"/>
  <c r="AZ66" i="27"/>
  <c r="AY66" i="27"/>
  <c r="AX66" i="27"/>
  <c r="AW66" i="27"/>
  <c r="AV66" i="27"/>
  <c r="AU66" i="27"/>
  <c r="AT66" i="27"/>
  <c r="AS66" i="27"/>
  <c r="AR66" i="27"/>
  <c r="AQ66" i="27"/>
  <c r="AP66" i="27"/>
  <c r="AO66" i="27"/>
  <c r="AN66" i="27"/>
  <c r="BT66" i="27" s="1"/>
  <c r="AM66" i="27"/>
  <c r="BS66" i="27" s="1"/>
  <c r="AK66" i="27"/>
  <c r="BU66" i="27" s="1"/>
  <c r="P66" i="27"/>
  <c r="DU65" i="27"/>
  <c r="CU65" i="27"/>
  <c r="CT65" i="27"/>
  <c r="CS65" i="27"/>
  <c r="CR65" i="27"/>
  <c r="CQ65" i="27"/>
  <c r="CP65" i="27"/>
  <c r="CO65" i="27"/>
  <c r="CN65" i="27"/>
  <c r="CM65" i="27"/>
  <c r="Q65" i="27" s="1"/>
  <c r="BR65" i="27"/>
  <c r="BQ65" i="27"/>
  <c r="BP65" i="27"/>
  <c r="BO65" i="27"/>
  <c r="BN65" i="27"/>
  <c r="BM65" i="27"/>
  <c r="BL65" i="27"/>
  <c r="BK65" i="27"/>
  <c r="BJ65" i="27"/>
  <c r="BI65" i="27"/>
  <c r="BH65" i="27"/>
  <c r="BG65" i="27"/>
  <c r="BF65" i="27"/>
  <c r="BE65" i="27"/>
  <c r="BD65" i="27"/>
  <c r="BC65" i="27"/>
  <c r="BB65" i="27"/>
  <c r="BA65" i="27"/>
  <c r="AZ65" i="27"/>
  <c r="AY65" i="27"/>
  <c r="AX65" i="27"/>
  <c r="AW65" i="27"/>
  <c r="AV65" i="27"/>
  <c r="AU65" i="27"/>
  <c r="AT65" i="27"/>
  <c r="AS65" i="27"/>
  <c r="AR65" i="27"/>
  <c r="AQ65" i="27"/>
  <c r="AP65" i="27"/>
  <c r="AO65" i="27"/>
  <c r="AN65" i="27"/>
  <c r="BT65" i="27" s="1"/>
  <c r="AM65" i="27"/>
  <c r="BS65" i="27" s="1"/>
  <c r="AK65" i="27"/>
  <c r="BU65" i="27" s="1"/>
  <c r="P65" i="27"/>
  <c r="DU64" i="27"/>
  <c r="CU64" i="27"/>
  <c r="CT64" i="27"/>
  <c r="CS64" i="27"/>
  <c r="CR64" i="27"/>
  <c r="CQ64" i="27"/>
  <c r="CP64" i="27"/>
  <c r="CO64" i="27"/>
  <c r="CN64" i="27"/>
  <c r="CM64" i="27"/>
  <c r="Q64" i="27" s="1"/>
  <c r="BR64" i="27"/>
  <c r="BQ64" i="27"/>
  <c r="BP64" i="27"/>
  <c r="BO64" i="27"/>
  <c r="BN64" i="27"/>
  <c r="BM64" i="27"/>
  <c r="BL64" i="27"/>
  <c r="BK64" i="27"/>
  <c r="BJ64" i="27"/>
  <c r="BI64" i="27"/>
  <c r="BH64" i="27"/>
  <c r="BG64" i="27"/>
  <c r="BF64" i="27"/>
  <c r="BE64" i="27"/>
  <c r="BD64" i="27"/>
  <c r="BC64" i="27"/>
  <c r="BB64" i="27"/>
  <c r="BA64" i="27"/>
  <c r="AZ64" i="27"/>
  <c r="AY64" i="27"/>
  <c r="AX64" i="27"/>
  <c r="AW64" i="27"/>
  <c r="AV64" i="27"/>
  <c r="AU64" i="27"/>
  <c r="AT64" i="27"/>
  <c r="AS64" i="27"/>
  <c r="AR64" i="27"/>
  <c r="AQ64" i="27"/>
  <c r="AP64" i="27"/>
  <c r="AO64" i="27"/>
  <c r="AN64" i="27"/>
  <c r="BT64" i="27" s="1"/>
  <c r="AM64" i="27"/>
  <c r="BS64" i="27" s="1"/>
  <c r="AK64" i="27"/>
  <c r="BU64" i="27" s="1"/>
  <c r="P64" i="27"/>
  <c r="DU63" i="27"/>
  <c r="CU63" i="27"/>
  <c r="CT63" i="27"/>
  <c r="CS63" i="27"/>
  <c r="CR63" i="27"/>
  <c r="CQ63" i="27"/>
  <c r="CP63" i="27"/>
  <c r="CO63" i="27"/>
  <c r="CN63" i="27"/>
  <c r="CV63" i="27" s="1"/>
  <c r="CM63" i="27"/>
  <c r="CK63" i="27" s="1"/>
  <c r="BR63" i="27"/>
  <c r="BQ63" i="27"/>
  <c r="BP63" i="27"/>
  <c r="BO63" i="27"/>
  <c r="BN63" i="27"/>
  <c r="BM63" i="27"/>
  <c r="BL63" i="27"/>
  <c r="BK63" i="27"/>
  <c r="BJ63" i="27"/>
  <c r="BI63" i="27"/>
  <c r="BH63" i="27"/>
  <c r="BG63" i="27"/>
  <c r="BF63" i="27"/>
  <c r="BE63" i="27"/>
  <c r="BD63" i="27"/>
  <c r="BC63" i="27"/>
  <c r="BB63" i="27"/>
  <c r="BA63" i="27"/>
  <c r="AZ63" i="27"/>
  <c r="AY63" i="27"/>
  <c r="AX63" i="27"/>
  <c r="AW63" i="27"/>
  <c r="AV63" i="27"/>
  <c r="AU63" i="27"/>
  <c r="AT63" i="27"/>
  <c r="AS63" i="27"/>
  <c r="AR63" i="27"/>
  <c r="AQ63" i="27"/>
  <c r="AP63" i="27"/>
  <c r="AO63" i="27"/>
  <c r="AN63" i="27"/>
  <c r="BT63" i="27" s="1"/>
  <c r="AM63" i="27"/>
  <c r="BS63" i="27" s="1"/>
  <c r="AK63" i="27"/>
  <c r="BU63" i="27" s="1"/>
  <c r="Q63" i="27"/>
  <c r="P63" i="27"/>
  <c r="DU62" i="27"/>
  <c r="CU62" i="27"/>
  <c r="CT62" i="27"/>
  <c r="CS62" i="27"/>
  <c r="CR62" i="27"/>
  <c r="CQ62" i="27"/>
  <c r="CP62" i="27"/>
  <c r="CO62" i="27"/>
  <c r="CN62" i="27"/>
  <c r="CM62" i="27"/>
  <c r="Q62" i="27" s="1"/>
  <c r="BR62" i="27"/>
  <c r="BQ62" i="27"/>
  <c r="BP62" i="27"/>
  <c r="BO62" i="27"/>
  <c r="BN62" i="27"/>
  <c r="BM62" i="27"/>
  <c r="BL62" i="27"/>
  <c r="BK62" i="27"/>
  <c r="BJ62" i="27"/>
  <c r="BI62" i="27"/>
  <c r="BH62" i="27"/>
  <c r="BG62" i="27"/>
  <c r="BF62" i="27"/>
  <c r="BE62" i="27"/>
  <c r="BD62" i="27"/>
  <c r="BC62" i="27"/>
  <c r="BB62" i="27"/>
  <c r="BA62" i="27"/>
  <c r="AZ62" i="27"/>
  <c r="AY62" i="27"/>
  <c r="AX62" i="27"/>
  <c r="AW62" i="27"/>
  <c r="AV62" i="27"/>
  <c r="AU62" i="27"/>
  <c r="AT62" i="27"/>
  <c r="AS62" i="27"/>
  <c r="AR62" i="27"/>
  <c r="AQ62" i="27"/>
  <c r="AP62" i="27"/>
  <c r="AO62" i="27"/>
  <c r="AN62" i="27"/>
  <c r="BT62" i="27" s="1"/>
  <c r="AM62" i="27"/>
  <c r="BS62" i="27" s="1"/>
  <c r="AK62" i="27"/>
  <c r="BU62" i="27" s="1"/>
  <c r="P62" i="27"/>
  <c r="DU61" i="27"/>
  <c r="CU61" i="27"/>
  <c r="CT61" i="27"/>
  <c r="CS61" i="27"/>
  <c r="CR61" i="27"/>
  <c r="CQ61" i="27"/>
  <c r="CP61" i="27"/>
  <c r="CO61" i="27"/>
  <c r="CN61" i="27"/>
  <c r="CV61" i="27" s="1"/>
  <c r="CM61" i="27"/>
  <c r="CK61" i="27" s="1"/>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BS61" i="27" s="1"/>
  <c r="AK61" i="27"/>
  <c r="BU61" i="27" s="1"/>
  <c r="Q61" i="27"/>
  <c r="P61" i="27"/>
  <c r="DU60" i="27"/>
  <c r="DT60" i="27"/>
  <c r="CU60" i="27"/>
  <c r="CT60" i="27"/>
  <c r="CS60" i="27"/>
  <c r="CR60" i="27"/>
  <c r="CQ60" i="27"/>
  <c r="CP60" i="27"/>
  <c r="CO60" i="27"/>
  <c r="CN60" i="27"/>
  <c r="CK60" i="27" s="1"/>
  <c r="CM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AT60" i="27"/>
  <c r="AS60" i="27"/>
  <c r="AR60" i="27"/>
  <c r="AQ60" i="27"/>
  <c r="AP60" i="27"/>
  <c r="AO60" i="27"/>
  <c r="AN60" i="27"/>
  <c r="BT60" i="27" s="1"/>
  <c r="AM60" i="27"/>
  <c r="BS60" i="27" s="1"/>
  <c r="AK60" i="27"/>
  <c r="BU60" i="27" s="1"/>
  <c r="Q60" i="27"/>
  <c r="P60" i="27"/>
  <c r="DU59" i="27"/>
  <c r="DT59" i="27"/>
  <c r="CU59" i="27"/>
  <c r="CT59" i="27"/>
  <c r="CS59" i="27"/>
  <c r="CR59" i="27"/>
  <c r="CQ59" i="27"/>
  <c r="CP59" i="27"/>
  <c r="CO59" i="27"/>
  <c r="CN59" i="27"/>
  <c r="CM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AS59" i="27"/>
  <c r="AR59" i="27"/>
  <c r="AQ59" i="27"/>
  <c r="AP59" i="27"/>
  <c r="AO59" i="27"/>
  <c r="AN59" i="27"/>
  <c r="BT59" i="27" s="1"/>
  <c r="AM59" i="27"/>
  <c r="BS59" i="27" s="1"/>
  <c r="AK59" i="27"/>
  <c r="BU59" i="27" s="1"/>
  <c r="P59" i="27"/>
  <c r="DU58" i="27"/>
  <c r="DT58" i="27"/>
  <c r="CU58" i="27"/>
  <c r="CT58" i="27"/>
  <c r="CS58" i="27"/>
  <c r="CR58" i="27"/>
  <c r="CQ58" i="27"/>
  <c r="CP58" i="27"/>
  <c r="CO58" i="27"/>
  <c r="CN58" i="27"/>
  <c r="CM58" i="27"/>
  <c r="Q58" i="27" s="1"/>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AR58" i="27"/>
  <c r="AQ58" i="27"/>
  <c r="AP58" i="27"/>
  <c r="AO58" i="27"/>
  <c r="AN58" i="27"/>
  <c r="BT58" i="27" s="1"/>
  <c r="AM58" i="27"/>
  <c r="BS58" i="27" s="1"/>
  <c r="AK58" i="27"/>
  <c r="BU58" i="27" s="1"/>
  <c r="P58" i="27"/>
  <c r="DU57" i="27"/>
  <c r="DT57" i="27"/>
  <c r="CU57" i="27"/>
  <c r="CT57" i="27"/>
  <c r="CS57" i="27"/>
  <c r="CR57" i="27"/>
  <c r="CQ57" i="27"/>
  <c r="CP57" i="27"/>
  <c r="CO57" i="27"/>
  <c r="CN57" i="27"/>
  <c r="CV57" i="27" s="1"/>
  <c r="P57" i="27" s="1"/>
  <c r="DU56" i="27"/>
  <c r="DT56" i="27"/>
  <c r="CU56" i="27"/>
  <c r="CT56" i="27"/>
  <c r="CS56" i="27"/>
  <c r="CR56" i="27"/>
  <c r="CQ56" i="27"/>
  <c r="CP56" i="27"/>
  <c r="CO56" i="27"/>
  <c r="CN56" i="27"/>
  <c r="CV56" i="27" s="1"/>
  <c r="P56" i="27" s="1"/>
  <c r="BX56" i="27"/>
  <c r="DU55" i="27"/>
  <c r="DT55" i="27"/>
  <c r="CU55" i="27"/>
  <c r="CT55" i="27"/>
  <c r="CS55" i="27"/>
  <c r="CR55" i="27"/>
  <c r="CQ55" i="27"/>
  <c r="CP55" i="27"/>
  <c r="CO55" i="27"/>
  <c r="CN55" i="27"/>
  <c r="BX55" i="27"/>
  <c r="DU54" i="27"/>
  <c r="DT54" i="27"/>
  <c r="CU54" i="27"/>
  <c r="CT54" i="27"/>
  <c r="CS54" i="27"/>
  <c r="CR54" i="27"/>
  <c r="CQ54" i="27"/>
  <c r="CP54" i="27"/>
  <c r="CO54" i="27"/>
  <c r="CN54" i="27"/>
  <c r="BX54" i="27"/>
  <c r="DU53" i="27"/>
  <c r="DT53" i="27"/>
  <c r="CU53" i="27"/>
  <c r="CT53" i="27"/>
  <c r="CS53" i="27"/>
  <c r="CR53" i="27"/>
  <c r="CQ53" i="27"/>
  <c r="CP53" i="27"/>
  <c r="CO53" i="27"/>
  <c r="CN53" i="27"/>
  <c r="BX53" i="27"/>
  <c r="AI53" i="27"/>
  <c r="AF53" i="27"/>
  <c r="AC53" i="27"/>
  <c r="AB53" i="27"/>
  <c r="DU52" i="27"/>
  <c r="DT52" i="27"/>
  <c r="CU52" i="27"/>
  <c r="CT52" i="27"/>
  <c r="CS52" i="27"/>
  <c r="CR52" i="27"/>
  <c r="CQ52" i="27"/>
  <c r="CP52" i="27"/>
  <c r="CO52" i="27"/>
  <c r="CN52" i="27"/>
  <c r="CH52" i="27"/>
  <c r="CG52" i="27"/>
  <c r="CF52" i="27"/>
  <c r="BX52" i="27"/>
  <c r="AI52" i="27"/>
  <c r="AF52" i="27"/>
  <c r="AC52" i="27"/>
  <c r="AB52" i="27"/>
  <c r="DU51" i="27"/>
  <c r="DT51" i="27"/>
  <c r="CU51" i="27"/>
  <c r="CT51" i="27"/>
  <c r="CS51" i="27"/>
  <c r="CR51" i="27"/>
  <c r="CQ51" i="27"/>
  <c r="CP51" i="27"/>
  <c r="CO51" i="27"/>
  <c r="CN51" i="27"/>
  <c r="BX51" i="27"/>
  <c r="AI51" i="27"/>
  <c r="AC51" i="27"/>
  <c r="AB51" i="27"/>
  <c r="DU50" i="27"/>
  <c r="DT50" i="27"/>
  <c r="CU50" i="27"/>
  <c r="CT50" i="27"/>
  <c r="CS50" i="27"/>
  <c r="CR50" i="27"/>
  <c r="CQ50" i="27"/>
  <c r="CP50" i="27"/>
  <c r="CO50" i="27"/>
  <c r="CN50" i="27"/>
  <c r="BX50" i="27"/>
  <c r="AC50" i="27"/>
  <c r="AB50" i="27"/>
  <c r="DU49" i="27"/>
  <c r="DT49" i="27"/>
  <c r="CU49" i="27"/>
  <c r="CT49" i="27"/>
  <c r="CS49" i="27"/>
  <c r="CR49" i="27"/>
  <c r="CQ49" i="27"/>
  <c r="CP49" i="27"/>
  <c r="CO49" i="27"/>
  <c r="CN49" i="27"/>
  <c r="BX49" i="27"/>
  <c r="DU48" i="27"/>
  <c r="DT48" i="27"/>
  <c r="CU48" i="27"/>
  <c r="CT48" i="27"/>
  <c r="CS48" i="27"/>
  <c r="CR48" i="27"/>
  <c r="CQ48" i="27"/>
  <c r="CP48" i="27"/>
  <c r="CO48" i="27"/>
  <c r="CN48" i="27"/>
  <c r="CV48" i="27" s="1"/>
  <c r="P48" i="27" s="1"/>
  <c r="BX48" i="27"/>
  <c r="DU47" i="27"/>
  <c r="DT47" i="27"/>
  <c r="CU47" i="27"/>
  <c r="CT47" i="27"/>
  <c r="CS47" i="27"/>
  <c r="CR47" i="27"/>
  <c r="CQ47" i="27"/>
  <c r="CP47" i="27"/>
  <c r="CO47" i="27"/>
  <c r="CN47" i="27"/>
  <c r="BX47" i="27"/>
  <c r="DU46" i="27"/>
  <c r="DT46" i="27"/>
  <c r="CU46" i="27"/>
  <c r="CT46" i="27"/>
  <c r="CS46" i="27"/>
  <c r="CR46" i="27"/>
  <c r="CQ46" i="27"/>
  <c r="CP46" i="27"/>
  <c r="CO46" i="27"/>
  <c r="CN46" i="27"/>
  <c r="BX46" i="27"/>
  <c r="DU45" i="27"/>
  <c r="DT45" i="27"/>
  <c r="CU45" i="27"/>
  <c r="CT45" i="27"/>
  <c r="CS45" i="27"/>
  <c r="CR45" i="27"/>
  <c r="CQ45" i="27"/>
  <c r="CP45" i="27"/>
  <c r="CO45" i="27"/>
  <c r="CN45" i="27"/>
  <c r="BX45" i="27"/>
  <c r="DU44" i="27"/>
  <c r="DT44" i="27"/>
  <c r="CU44" i="27"/>
  <c r="CT44" i="27"/>
  <c r="CS44" i="27"/>
  <c r="CR44" i="27"/>
  <c r="CQ44" i="27"/>
  <c r="CP44" i="27"/>
  <c r="CO44" i="27"/>
  <c r="CN44" i="27"/>
  <c r="CV44" i="27" s="1"/>
  <c r="P44" i="27" s="1"/>
  <c r="BX44" i="27"/>
  <c r="DU43" i="27"/>
  <c r="DT43" i="27"/>
  <c r="CU43" i="27"/>
  <c r="CT43" i="27"/>
  <c r="CS43" i="27"/>
  <c r="CR43" i="27"/>
  <c r="CQ43" i="27"/>
  <c r="CP43" i="27"/>
  <c r="CO43" i="27"/>
  <c r="CN43" i="27"/>
  <c r="BX43" i="27"/>
  <c r="DU42" i="27"/>
  <c r="DT42" i="27"/>
  <c r="CU42" i="27"/>
  <c r="CT42" i="27"/>
  <c r="CS42" i="27"/>
  <c r="CR42" i="27"/>
  <c r="CQ42" i="27"/>
  <c r="CP42" i="27"/>
  <c r="CO42" i="27"/>
  <c r="CN42" i="27"/>
  <c r="BX42" i="27"/>
  <c r="DU41" i="27"/>
  <c r="DT41" i="27"/>
  <c r="CU41" i="27"/>
  <c r="CT41" i="27"/>
  <c r="CS41" i="27"/>
  <c r="CR41" i="27"/>
  <c r="CQ41" i="27"/>
  <c r="CP41" i="27"/>
  <c r="CO41" i="27"/>
  <c r="CN41" i="27"/>
  <c r="BX41" i="27"/>
  <c r="DU40" i="27"/>
  <c r="DT40" i="27"/>
  <c r="CU40" i="27"/>
  <c r="CT40" i="27"/>
  <c r="CS40" i="27"/>
  <c r="CR40" i="27"/>
  <c r="CQ40" i="27"/>
  <c r="CP40" i="27"/>
  <c r="CO40" i="27"/>
  <c r="CN40" i="27"/>
  <c r="BX40" i="27"/>
  <c r="DU39" i="27"/>
  <c r="DT39" i="27"/>
  <c r="CU39" i="27"/>
  <c r="CT39" i="27"/>
  <c r="CS39" i="27"/>
  <c r="CR39" i="27"/>
  <c r="CQ39" i="27"/>
  <c r="CP39" i="27"/>
  <c r="CO39" i="27"/>
  <c r="CN39" i="27"/>
  <c r="CV39" i="27" s="1"/>
  <c r="P39" i="27" s="1"/>
  <c r="BX39" i="27"/>
  <c r="DU38" i="27"/>
  <c r="DT38" i="27"/>
  <c r="CU38" i="27"/>
  <c r="CT38" i="27"/>
  <c r="CS38" i="27"/>
  <c r="CR38" i="27"/>
  <c r="CQ38" i="27"/>
  <c r="CP38" i="27"/>
  <c r="CO38" i="27"/>
  <c r="CN38" i="27"/>
  <c r="BX38" i="27"/>
  <c r="DU37" i="27"/>
  <c r="DT37" i="27"/>
  <c r="CU37" i="27"/>
  <c r="CT37" i="27"/>
  <c r="CS37" i="27"/>
  <c r="CR37" i="27"/>
  <c r="CQ37" i="27"/>
  <c r="CP37" i="27"/>
  <c r="CO37" i="27"/>
  <c r="CN37" i="27"/>
  <c r="CV37" i="27" s="1"/>
  <c r="P37" i="27" s="1"/>
  <c r="BX37" i="27"/>
  <c r="DU36" i="27"/>
  <c r="DT36" i="27"/>
  <c r="CU36" i="27"/>
  <c r="CT36" i="27"/>
  <c r="CS36" i="27"/>
  <c r="CR36" i="27"/>
  <c r="CQ36" i="27"/>
  <c r="CP36" i="27"/>
  <c r="CO36" i="27"/>
  <c r="CN36" i="27"/>
  <c r="BX36" i="27"/>
  <c r="DU35" i="27"/>
  <c r="DT35" i="27"/>
  <c r="CU35" i="27"/>
  <c r="CT35" i="27"/>
  <c r="CS35" i="27"/>
  <c r="CR35" i="27"/>
  <c r="CQ35" i="27"/>
  <c r="CP35" i="27"/>
  <c r="CO35" i="27"/>
  <c r="CN35" i="27"/>
  <c r="CV35" i="27" s="1"/>
  <c r="P35" i="27" s="1"/>
  <c r="BX35" i="27"/>
  <c r="DU34" i="27"/>
  <c r="DT34" i="27"/>
  <c r="DB34" i="27"/>
  <c r="DA34" i="27"/>
  <c r="CU34" i="27"/>
  <c r="CT34" i="27"/>
  <c r="CS34" i="27"/>
  <c r="CS12" i="27" s="1"/>
  <c r="CR34" i="27"/>
  <c r="CQ34" i="27"/>
  <c r="CP34" i="27"/>
  <c r="CO34" i="27"/>
  <c r="CO12" i="27" s="1"/>
  <c r="CN34" i="27"/>
  <c r="BX34" i="27"/>
  <c r="DU33" i="27"/>
  <c r="DT33" i="27"/>
  <c r="DA33" i="27"/>
  <c r="DB33" i="27" s="1"/>
  <c r="CU33" i="27"/>
  <c r="CT33" i="27"/>
  <c r="CS33" i="27"/>
  <c r="CR33" i="27"/>
  <c r="CQ33" i="27"/>
  <c r="CP33" i="27"/>
  <c r="CO33" i="27"/>
  <c r="CN33" i="27"/>
  <c r="CV33" i="27" s="1"/>
  <c r="P33" i="27" s="1"/>
  <c r="BX33" i="27"/>
  <c r="DU32" i="27"/>
  <c r="DT32" i="27"/>
  <c r="DB32" i="27"/>
  <c r="DA32" i="27"/>
  <c r="CU32" i="27"/>
  <c r="CT32" i="27"/>
  <c r="CS32" i="27"/>
  <c r="CR32" i="27"/>
  <c r="CQ32" i="27"/>
  <c r="CP32" i="27"/>
  <c r="CO32" i="27"/>
  <c r="CN32" i="27"/>
  <c r="CV32" i="27" s="1"/>
  <c r="P32" i="27" s="1"/>
  <c r="BX32" i="27"/>
  <c r="DU31" i="27"/>
  <c r="DT31" i="27"/>
  <c r="DA31" i="27"/>
  <c r="DB31" i="27" s="1"/>
  <c r="CU31" i="27"/>
  <c r="CT31" i="27"/>
  <c r="CS31" i="27"/>
  <c r="CR31" i="27"/>
  <c r="CQ31" i="27"/>
  <c r="CP31" i="27"/>
  <c r="CO31" i="27"/>
  <c r="CN31" i="27"/>
  <c r="CV31" i="27" s="1"/>
  <c r="P31" i="27" s="1"/>
  <c r="BX31" i="27"/>
  <c r="DU30" i="27"/>
  <c r="DT30" i="27"/>
  <c r="DB30" i="27"/>
  <c r="DA30" i="27"/>
  <c r="CU30" i="27"/>
  <c r="CT30" i="27"/>
  <c r="CS30" i="27"/>
  <c r="CR30" i="27"/>
  <c r="CQ30" i="27"/>
  <c r="CP30" i="27"/>
  <c r="CO30" i="27"/>
  <c r="CN30" i="27"/>
  <c r="BX30" i="27"/>
  <c r="DU29" i="27"/>
  <c r="DT29" i="27"/>
  <c r="DA29" i="27"/>
  <c r="DB29" i="27" s="1"/>
  <c r="CU29" i="27"/>
  <c r="CT29" i="27"/>
  <c r="CS29" i="27"/>
  <c r="CR29" i="27"/>
  <c r="CQ29" i="27"/>
  <c r="CP29" i="27"/>
  <c r="CO29" i="27"/>
  <c r="CN29" i="27"/>
  <c r="CV29" i="27" s="1"/>
  <c r="P29" i="27" s="1"/>
  <c r="BX29" i="27"/>
  <c r="DU28" i="27"/>
  <c r="DT28" i="27"/>
  <c r="CU28" i="27"/>
  <c r="CT28" i="27"/>
  <c r="CS28" i="27"/>
  <c r="CR28" i="27"/>
  <c r="CQ28" i="27"/>
  <c r="CP28" i="27"/>
  <c r="CO28" i="27"/>
  <c r="CN28" i="27"/>
  <c r="CV28" i="27" s="1"/>
  <c r="P28" i="27" s="1"/>
  <c r="BX28" i="27"/>
  <c r="DU27" i="27"/>
  <c r="DT27" i="27"/>
  <c r="CU27" i="27"/>
  <c r="CT27" i="27"/>
  <c r="CS27" i="27"/>
  <c r="CR27" i="27"/>
  <c r="CQ27" i="27"/>
  <c r="CP27" i="27"/>
  <c r="CO27" i="27"/>
  <c r="CN27" i="27"/>
  <c r="CV27" i="27" s="1"/>
  <c r="P27" i="27" s="1"/>
  <c r="BX27" i="27"/>
  <c r="DU26" i="27"/>
  <c r="DT26" i="27"/>
  <c r="CU26" i="27"/>
  <c r="CT26" i="27"/>
  <c r="CS26" i="27"/>
  <c r="CR26" i="27"/>
  <c r="CQ26" i="27"/>
  <c r="CP26" i="27"/>
  <c r="CO26" i="27"/>
  <c r="CN26" i="27"/>
  <c r="BX26" i="27"/>
  <c r="DU25" i="27"/>
  <c r="DT25" i="27"/>
  <c r="CU25" i="27"/>
  <c r="CT25" i="27"/>
  <c r="CS25" i="27"/>
  <c r="CR25" i="27"/>
  <c r="CQ25" i="27"/>
  <c r="CP25" i="27"/>
  <c r="CO25" i="27"/>
  <c r="CN25" i="27"/>
  <c r="CV25" i="27" s="1"/>
  <c r="P25" i="27" s="1"/>
  <c r="BX25" i="27"/>
  <c r="DU24" i="27"/>
  <c r="DT24" i="27"/>
  <c r="CU24" i="27"/>
  <c r="CT24" i="27"/>
  <c r="CS24" i="27"/>
  <c r="CR24" i="27"/>
  <c r="CQ24" i="27"/>
  <c r="CP24" i="27"/>
  <c r="CO24" i="27"/>
  <c r="CN24" i="27"/>
  <c r="BX24" i="27"/>
  <c r="DU23" i="27"/>
  <c r="DT23" i="27"/>
  <c r="CU23" i="27"/>
  <c r="CT23" i="27"/>
  <c r="CS23" i="27"/>
  <c r="CR23" i="27"/>
  <c r="CQ23" i="27"/>
  <c r="CP23" i="27"/>
  <c r="CO23" i="27"/>
  <c r="CN23" i="27"/>
  <c r="CV23" i="27" s="1"/>
  <c r="P23" i="27" s="1"/>
  <c r="BX23" i="27"/>
  <c r="DU22" i="27"/>
  <c r="DT22" i="27"/>
  <c r="CU22" i="27"/>
  <c r="CT22" i="27"/>
  <c r="CS22" i="27"/>
  <c r="CR22" i="27"/>
  <c r="CQ22" i="27"/>
  <c r="CP22" i="27"/>
  <c r="CO22" i="27"/>
  <c r="CN22" i="27"/>
  <c r="CV22" i="27" s="1"/>
  <c r="P22" i="27" s="1"/>
  <c r="BX22" i="27"/>
  <c r="DU21" i="27"/>
  <c r="DT21" i="27"/>
  <c r="CU21" i="27"/>
  <c r="CT21" i="27"/>
  <c r="CS21" i="27"/>
  <c r="CR21" i="27"/>
  <c r="CQ21" i="27"/>
  <c r="CP21" i="27"/>
  <c r="CO21" i="27"/>
  <c r="CN21" i="27"/>
  <c r="BX21" i="27"/>
  <c r="DU20" i="27"/>
  <c r="DT20" i="27"/>
  <c r="CU20" i="27"/>
  <c r="CT20" i="27"/>
  <c r="CS20" i="27"/>
  <c r="CR20" i="27"/>
  <c r="CQ20" i="27"/>
  <c r="CP20" i="27"/>
  <c r="CO20" i="27"/>
  <c r="CN20" i="27"/>
  <c r="CV20" i="27" s="1"/>
  <c r="P20" i="27" s="1"/>
  <c r="BX20" i="27"/>
  <c r="DU19" i="27"/>
  <c r="DT19" i="27"/>
  <c r="CU19" i="27"/>
  <c r="CT19" i="27"/>
  <c r="CS19" i="27"/>
  <c r="CR19" i="27"/>
  <c r="CQ19" i="27"/>
  <c r="CP19" i="27"/>
  <c r="CO19" i="27"/>
  <c r="CN19" i="27"/>
  <c r="CV19" i="27" s="1"/>
  <c r="P19" i="27" s="1"/>
  <c r="BX19" i="27"/>
  <c r="DU18" i="27"/>
  <c r="DT18" i="27"/>
  <c r="CU18" i="27"/>
  <c r="CT18" i="27"/>
  <c r="CS18" i="27"/>
  <c r="CR18" i="27"/>
  <c r="CR12" i="27" s="1"/>
  <c r="CQ18" i="27"/>
  <c r="CP18" i="27"/>
  <c r="CO18" i="27"/>
  <c r="CN18" i="27"/>
  <c r="CN12" i="27" s="1"/>
  <c r="BX18" i="27"/>
  <c r="DU17" i="27"/>
  <c r="DT17" i="27"/>
  <c r="CU17" i="27"/>
  <c r="CU12" i="27" s="1"/>
  <c r="CT17" i="27"/>
  <c r="CS17" i="27"/>
  <c r="CR17" i="27"/>
  <c r="CQ17" i="27"/>
  <c r="CP17" i="27"/>
  <c r="CO17" i="27"/>
  <c r="CN17" i="27"/>
  <c r="BX17" i="27"/>
  <c r="DU16" i="27"/>
  <c r="DT16" i="27"/>
  <c r="CU16" i="27"/>
  <c r="CT16" i="27"/>
  <c r="CS16" i="27"/>
  <c r="CR16" i="27"/>
  <c r="CQ16" i="27"/>
  <c r="CP16" i="27"/>
  <c r="CO16" i="27"/>
  <c r="CN16" i="27"/>
  <c r="CV16" i="27" s="1"/>
  <c r="P16" i="27" s="1"/>
  <c r="BX16" i="27"/>
  <c r="O15" i="27"/>
  <c r="N15" i="27"/>
  <c r="M15" i="27"/>
  <c r="L15" i="27"/>
  <c r="K15" i="27"/>
  <c r="J15" i="27"/>
  <c r="I15" i="27"/>
  <c r="H15" i="27"/>
  <c r="G15" i="27"/>
  <c r="CQ12" i="27"/>
  <c r="CQ10" i="27" s="1"/>
  <c r="CR10" i="27"/>
  <c r="CN10" i="27"/>
  <c r="AH1" i="27"/>
  <c r="J1" i="27"/>
  <c r="L225" i="26"/>
  <c r="N225" i="26" s="1"/>
  <c r="J225" i="26"/>
  <c r="I225" i="26"/>
  <c r="E225" i="26"/>
  <c r="D225" i="26"/>
  <c r="C225" i="26"/>
  <c r="B225" i="26"/>
  <c r="N224" i="26"/>
  <c r="L224" i="26"/>
  <c r="J224" i="26"/>
  <c r="I224" i="26"/>
  <c r="E224" i="26"/>
  <c r="D224" i="26"/>
  <c r="C224" i="26"/>
  <c r="B224" i="26"/>
  <c r="L223" i="26"/>
  <c r="N223" i="26" s="1"/>
  <c r="J223" i="26"/>
  <c r="I223" i="26"/>
  <c r="E223" i="26"/>
  <c r="D223" i="26"/>
  <c r="C223" i="26"/>
  <c r="B223" i="26"/>
  <c r="L222" i="26"/>
  <c r="N222" i="26" s="1"/>
  <c r="J222" i="26"/>
  <c r="I222" i="26"/>
  <c r="E222" i="26"/>
  <c r="D222" i="26"/>
  <c r="C222" i="26"/>
  <c r="B222" i="26"/>
  <c r="L221" i="26"/>
  <c r="N221" i="26" s="1"/>
  <c r="J221" i="26"/>
  <c r="I221" i="26"/>
  <c r="E221" i="26"/>
  <c r="D221" i="26"/>
  <c r="C221" i="26"/>
  <c r="B221" i="26"/>
  <c r="N220" i="26"/>
  <c r="L220" i="26"/>
  <c r="J220" i="26"/>
  <c r="I220" i="26"/>
  <c r="E220" i="26"/>
  <c r="D220" i="26"/>
  <c r="C220" i="26"/>
  <c r="B220" i="26"/>
  <c r="L219" i="26"/>
  <c r="N219" i="26" s="1"/>
  <c r="J219" i="26"/>
  <c r="I219" i="26"/>
  <c r="E219" i="26"/>
  <c r="D219" i="26"/>
  <c r="C219" i="26"/>
  <c r="B219" i="26"/>
  <c r="L218" i="26"/>
  <c r="N218" i="26" s="1"/>
  <c r="J218" i="26"/>
  <c r="I218" i="26"/>
  <c r="E218" i="26"/>
  <c r="D218" i="26"/>
  <c r="C218" i="26"/>
  <c r="B218" i="26"/>
  <c r="L217" i="26"/>
  <c r="N217" i="26" s="1"/>
  <c r="J217" i="26"/>
  <c r="I217" i="26"/>
  <c r="E217" i="26"/>
  <c r="D217" i="26"/>
  <c r="C217" i="26"/>
  <c r="B217" i="26"/>
  <c r="N216" i="26"/>
  <c r="L216" i="26"/>
  <c r="J216" i="26"/>
  <c r="I216" i="26"/>
  <c r="E216" i="26"/>
  <c r="D216" i="26"/>
  <c r="C216" i="26"/>
  <c r="B216" i="26"/>
  <c r="L215" i="26"/>
  <c r="N215" i="26" s="1"/>
  <c r="J215" i="26"/>
  <c r="I215" i="26"/>
  <c r="E215" i="26"/>
  <c r="D215" i="26"/>
  <c r="C215" i="26"/>
  <c r="B215" i="26"/>
  <c r="L214" i="26"/>
  <c r="N214" i="26" s="1"/>
  <c r="J214" i="26"/>
  <c r="I214" i="26"/>
  <c r="E214" i="26"/>
  <c r="D214" i="26"/>
  <c r="C214" i="26"/>
  <c r="B214" i="26"/>
  <c r="L213" i="26"/>
  <c r="N213" i="26" s="1"/>
  <c r="J213" i="26"/>
  <c r="I213" i="26"/>
  <c r="E213" i="26"/>
  <c r="D213" i="26"/>
  <c r="C213" i="26"/>
  <c r="B213" i="26"/>
  <c r="L212" i="26"/>
  <c r="N212" i="26" s="1"/>
  <c r="J212" i="26"/>
  <c r="I212" i="26"/>
  <c r="E212" i="26"/>
  <c r="D212" i="26"/>
  <c r="C212" i="26"/>
  <c r="B212" i="26"/>
  <c r="L211" i="26"/>
  <c r="N211" i="26" s="1"/>
  <c r="J211" i="26"/>
  <c r="I211" i="26"/>
  <c r="E211" i="26"/>
  <c r="D211" i="26"/>
  <c r="C211" i="26"/>
  <c r="B211" i="26"/>
  <c r="L210" i="26"/>
  <c r="N210" i="26" s="1"/>
  <c r="J210" i="26"/>
  <c r="I210" i="26"/>
  <c r="E210" i="26"/>
  <c r="D210" i="26"/>
  <c r="C210" i="26"/>
  <c r="B210" i="26"/>
  <c r="L209" i="26"/>
  <c r="N209" i="26" s="1"/>
  <c r="J209" i="26"/>
  <c r="I209" i="26"/>
  <c r="E209" i="26"/>
  <c r="D209" i="26"/>
  <c r="C209" i="26"/>
  <c r="B209" i="26"/>
  <c r="N208" i="26"/>
  <c r="L208" i="26"/>
  <c r="J208" i="26"/>
  <c r="I208" i="26"/>
  <c r="E208" i="26"/>
  <c r="D208" i="26"/>
  <c r="C208" i="26"/>
  <c r="B208" i="26"/>
  <c r="L207" i="26"/>
  <c r="N207" i="26" s="1"/>
  <c r="J207" i="26"/>
  <c r="I207" i="26"/>
  <c r="E207" i="26"/>
  <c r="D207" i="26"/>
  <c r="C207" i="26"/>
  <c r="B207" i="26"/>
  <c r="L206" i="26"/>
  <c r="N206" i="26" s="1"/>
  <c r="J206" i="26"/>
  <c r="I206" i="26"/>
  <c r="E206" i="26"/>
  <c r="D206" i="26"/>
  <c r="C206" i="26"/>
  <c r="B206" i="26"/>
  <c r="L205" i="26"/>
  <c r="N205" i="26" s="1"/>
  <c r="J205" i="26"/>
  <c r="I205" i="26"/>
  <c r="E205" i="26"/>
  <c r="D205" i="26"/>
  <c r="C205" i="26"/>
  <c r="B205" i="26"/>
  <c r="L204" i="26"/>
  <c r="N204" i="26" s="1"/>
  <c r="J204" i="26"/>
  <c r="I204" i="26"/>
  <c r="E204" i="26"/>
  <c r="D204" i="26"/>
  <c r="C204" i="26"/>
  <c r="B204" i="26"/>
  <c r="L203" i="26"/>
  <c r="N203" i="26" s="1"/>
  <c r="J203" i="26"/>
  <c r="I203" i="26"/>
  <c r="E203" i="26"/>
  <c r="D203" i="26"/>
  <c r="C203" i="26"/>
  <c r="B203" i="26"/>
  <c r="L202" i="26"/>
  <c r="N202" i="26" s="1"/>
  <c r="J202" i="26"/>
  <c r="I202" i="26"/>
  <c r="E202" i="26"/>
  <c r="D202" i="26"/>
  <c r="C202" i="26"/>
  <c r="B202" i="26"/>
  <c r="L201" i="26"/>
  <c r="N201" i="26" s="1"/>
  <c r="J201" i="26"/>
  <c r="I201" i="26"/>
  <c r="E201" i="26"/>
  <c r="D201" i="26"/>
  <c r="C201" i="26"/>
  <c r="B201" i="26"/>
  <c r="L200" i="26"/>
  <c r="N200" i="26" s="1"/>
  <c r="J200" i="26"/>
  <c r="I200" i="26"/>
  <c r="E200" i="26"/>
  <c r="D200" i="26"/>
  <c r="C200" i="26"/>
  <c r="B200" i="26"/>
  <c r="N199" i="26"/>
  <c r="L199" i="26"/>
  <c r="J199" i="26"/>
  <c r="I199" i="26"/>
  <c r="E199" i="26"/>
  <c r="D199" i="26"/>
  <c r="C199" i="26"/>
  <c r="B199" i="26"/>
  <c r="L198" i="26"/>
  <c r="N198" i="26" s="1"/>
  <c r="J198" i="26"/>
  <c r="I198" i="26"/>
  <c r="E198" i="26"/>
  <c r="D198" i="26"/>
  <c r="C198" i="26"/>
  <c r="B198" i="26"/>
  <c r="L197" i="26"/>
  <c r="N197" i="26" s="1"/>
  <c r="J197" i="26"/>
  <c r="I197" i="26"/>
  <c r="E197" i="26"/>
  <c r="D197" i="26"/>
  <c r="C197" i="26"/>
  <c r="B197" i="26"/>
  <c r="L196" i="26"/>
  <c r="N196" i="26" s="1"/>
  <c r="J196" i="26"/>
  <c r="I196" i="26"/>
  <c r="E196" i="26"/>
  <c r="D196" i="26"/>
  <c r="C196" i="26"/>
  <c r="B196" i="26"/>
  <c r="L195" i="26"/>
  <c r="N195" i="26" s="1"/>
  <c r="J195" i="26"/>
  <c r="I195" i="26"/>
  <c r="E195" i="26"/>
  <c r="D195" i="26"/>
  <c r="C195" i="26"/>
  <c r="B195" i="26"/>
  <c r="L194" i="26"/>
  <c r="N194" i="26" s="1"/>
  <c r="J194" i="26"/>
  <c r="I194" i="26"/>
  <c r="E194" i="26"/>
  <c r="D194" i="26"/>
  <c r="C194" i="26"/>
  <c r="B194" i="26"/>
  <c r="L193" i="26"/>
  <c r="N193" i="26" s="1"/>
  <c r="J193" i="26"/>
  <c r="I193" i="26"/>
  <c r="E193" i="26"/>
  <c r="D193" i="26"/>
  <c r="C193" i="26"/>
  <c r="B193" i="26"/>
  <c r="L192" i="26"/>
  <c r="N192" i="26" s="1"/>
  <c r="J192" i="26"/>
  <c r="I192" i="26"/>
  <c r="E192" i="26"/>
  <c r="D192" i="26"/>
  <c r="C192" i="26"/>
  <c r="B192" i="26"/>
  <c r="N191" i="26"/>
  <c r="L191" i="26"/>
  <c r="J191" i="26"/>
  <c r="I191" i="26"/>
  <c r="E191" i="26"/>
  <c r="D191" i="26"/>
  <c r="C191" i="26"/>
  <c r="B191" i="26"/>
  <c r="L190" i="26"/>
  <c r="N190" i="26" s="1"/>
  <c r="J190" i="26"/>
  <c r="I190" i="26"/>
  <c r="E190" i="26"/>
  <c r="D190" i="26"/>
  <c r="C190" i="26"/>
  <c r="B190" i="26"/>
  <c r="L189" i="26"/>
  <c r="N189" i="26" s="1"/>
  <c r="J189" i="26"/>
  <c r="I189" i="26"/>
  <c r="E189" i="26"/>
  <c r="D189" i="26"/>
  <c r="C189" i="26"/>
  <c r="B189" i="26"/>
  <c r="L188" i="26"/>
  <c r="N188" i="26" s="1"/>
  <c r="J188" i="26"/>
  <c r="I188" i="26"/>
  <c r="E188" i="26"/>
  <c r="D188" i="26"/>
  <c r="C188" i="26"/>
  <c r="B188" i="26"/>
  <c r="L187" i="26"/>
  <c r="N187" i="26" s="1"/>
  <c r="J187" i="26"/>
  <c r="I187" i="26"/>
  <c r="E187" i="26"/>
  <c r="D187" i="26"/>
  <c r="C187" i="26"/>
  <c r="B187" i="26"/>
  <c r="N186" i="26"/>
  <c r="L186" i="26"/>
  <c r="J186" i="26"/>
  <c r="I186" i="26"/>
  <c r="E186" i="26"/>
  <c r="D186" i="26"/>
  <c r="C186" i="26"/>
  <c r="B186" i="26"/>
  <c r="L185" i="26"/>
  <c r="J185" i="26"/>
  <c r="I185" i="26"/>
  <c r="E185" i="26"/>
  <c r="D185" i="26"/>
  <c r="C185" i="26"/>
  <c r="B185" i="26"/>
  <c r="L184" i="26"/>
  <c r="N184" i="26" s="1"/>
  <c r="J184" i="26"/>
  <c r="I184" i="26"/>
  <c r="E184" i="26"/>
  <c r="D184" i="26"/>
  <c r="C184" i="26"/>
  <c r="B184" i="26"/>
  <c r="E165" i="26"/>
  <c r="M164" i="26"/>
  <c r="L164" i="26"/>
  <c r="K164" i="26"/>
  <c r="J164" i="26"/>
  <c r="I164" i="26"/>
  <c r="H164" i="26"/>
  <c r="G164" i="26"/>
  <c r="F164" i="26"/>
  <c r="E164" i="26"/>
  <c r="E145" i="26"/>
  <c r="E124" i="26"/>
  <c r="F117" i="26"/>
  <c r="E103" i="26"/>
  <c r="E82" i="26"/>
  <c r="F76" i="26"/>
  <c r="E60" i="26"/>
  <c r="E55" i="26"/>
  <c r="E49" i="26"/>
  <c r="E39" i="26"/>
  <c r="F29" i="26"/>
  <c r="S27" i="26"/>
  <c r="R27" i="26"/>
  <c r="Q27" i="26"/>
  <c r="O27" i="26"/>
  <c r="N27" i="26"/>
  <c r="S26" i="26"/>
  <c r="R26" i="26"/>
  <c r="Q26" i="26"/>
  <c r="O26" i="26"/>
  <c r="N26" i="26"/>
  <c r="S25" i="26"/>
  <c r="R25" i="26"/>
  <c r="Q25" i="26"/>
  <c r="O25" i="26"/>
  <c r="N25" i="26"/>
  <c r="Y24" i="26"/>
  <c r="X24" i="26"/>
  <c r="W24" i="26"/>
  <c r="V24" i="26"/>
  <c r="U24" i="26"/>
  <c r="T24" i="26"/>
  <c r="S24" i="26"/>
  <c r="R24" i="26"/>
  <c r="Q24" i="26"/>
  <c r="O24" i="26"/>
  <c r="N24" i="26"/>
  <c r="Y23" i="26"/>
  <c r="X23" i="26"/>
  <c r="W23" i="26"/>
  <c r="V23" i="26"/>
  <c r="U23" i="26"/>
  <c r="T23" i="26"/>
  <c r="S23" i="26"/>
  <c r="R23" i="26"/>
  <c r="Q23" i="26"/>
  <c r="O23" i="26"/>
  <c r="N23" i="26"/>
  <c r="Y22" i="26"/>
  <c r="X22" i="26"/>
  <c r="W22" i="26"/>
  <c r="V22" i="26"/>
  <c r="U22" i="26"/>
  <c r="T22" i="26"/>
  <c r="S22" i="26"/>
  <c r="R22" i="26"/>
  <c r="Q22" i="26"/>
  <c r="O22" i="26"/>
  <c r="N22" i="26"/>
  <c r="Y21" i="26"/>
  <c r="X21" i="26"/>
  <c r="W21" i="26"/>
  <c r="V21" i="26"/>
  <c r="U21" i="26"/>
  <c r="T21" i="26"/>
  <c r="S21" i="26"/>
  <c r="R21" i="26"/>
  <c r="Q21" i="26"/>
  <c r="O21" i="26"/>
  <c r="N21" i="26"/>
  <c r="Y20" i="26"/>
  <c r="X20" i="26"/>
  <c r="W20" i="26"/>
  <c r="V20" i="26"/>
  <c r="U20" i="26"/>
  <c r="T20" i="26"/>
  <c r="S20" i="26"/>
  <c r="R20" i="26"/>
  <c r="Q20" i="26"/>
  <c r="O20" i="26"/>
  <c r="N20" i="26"/>
  <c r="Y19" i="26"/>
  <c r="X19" i="26"/>
  <c r="W19" i="26"/>
  <c r="V19" i="26"/>
  <c r="U19" i="26"/>
  <c r="T19" i="26"/>
  <c r="S19" i="26"/>
  <c r="R19" i="26"/>
  <c r="Q19" i="26"/>
  <c r="O19" i="26"/>
  <c r="N19" i="26"/>
  <c r="Y18" i="26"/>
  <c r="X18" i="26"/>
  <c r="W18" i="26"/>
  <c r="V18" i="26"/>
  <c r="U18" i="26"/>
  <c r="T18" i="26"/>
  <c r="S18" i="26"/>
  <c r="R18" i="26"/>
  <c r="Q18" i="26"/>
  <c r="O18" i="26"/>
  <c r="N18" i="26"/>
  <c r="E18" i="26"/>
  <c r="Y17" i="26"/>
  <c r="X17" i="26"/>
  <c r="W17" i="26"/>
  <c r="V17" i="26"/>
  <c r="U17" i="26"/>
  <c r="T17" i="26"/>
  <c r="S17" i="26"/>
  <c r="R17" i="26"/>
  <c r="Q17" i="26"/>
  <c r="O17" i="26"/>
  <c r="N17" i="26"/>
  <c r="P16" i="26"/>
  <c r="P26" i="26" s="1"/>
  <c r="I12" i="26"/>
  <c r="F12" i="26"/>
  <c r="E139" i="26" s="1"/>
  <c r="B12" i="26"/>
  <c r="H2" i="25"/>
  <c r="J3" i="25"/>
  <c r="A4" i="25"/>
  <c r="C4" i="25"/>
  <c r="I4" i="25"/>
  <c r="K4" i="25"/>
  <c r="A5" i="25"/>
  <c r="C5" i="25"/>
  <c r="E5" i="25"/>
  <c r="G5" i="25"/>
  <c r="I5" i="25"/>
  <c r="K5" i="25"/>
  <c r="A6" i="25"/>
  <c r="E6" i="25"/>
  <c r="G6" i="25"/>
  <c r="I6" i="25"/>
  <c r="K6" i="25"/>
  <c r="A7" i="25"/>
  <c r="E7" i="25"/>
  <c r="G7" i="25"/>
  <c r="A9" i="25"/>
  <c r="A11" i="25"/>
  <c r="C13" i="25"/>
  <c r="E13" i="25"/>
  <c r="H13" i="25"/>
  <c r="I13" i="25"/>
  <c r="B14" i="25"/>
  <c r="C14" i="25"/>
  <c r="D14" i="25"/>
  <c r="E14" i="25"/>
  <c r="F14" i="25"/>
  <c r="A15" i="25"/>
  <c r="A16" i="25"/>
  <c r="A17" i="25"/>
  <c r="A18" i="25"/>
  <c r="H18" i="25"/>
  <c r="A19" i="25"/>
  <c r="A20" i="25"/>
  <c r="H20" i="25"/>
  <c r="A21" i="25"/>
  <c r="H21" i="25"/>
  <c r="F34" i="24"/>
  <c r="AW80" i="30" l="1"/>
  <c r="L81" i="30"/>
  <c r="L79" i="30"/>
  <c r="X85" i="30"/>
  <c r="Y85" i="30"/>
  <c r="O78" i="30"/>
  <c r="S90" i="30"/>
  <c r="M80" i="30"/>
  <c r="L77" i="30"/>
  <c r="BA81" i="30"/>
  <c r="X89" i="30"/>
  <c r="Z89" i="30"/>
  <c r="Y89" i="30"/>
  <c r="O81" i="30"/>
  <c r="AW81" i="30"/>
  <c r="AR87" i="30"/>
  <c r="Z77" i="30"/>
  <c r="AW78" i="30"/>
  <c r="AJ77" i="30"/>
  <c r="Y80" i="30"/>
  <c r="Z81" i="30"/>
  <c r="AR89" i="30"/>
  <c r="K78" i="30"/>
  <c r="L80" i="30"/>
  <c r="AY84" i="30"/>
  <c r="AZ84" i="30" s="1"/>
  <c r="B88" i="30"/>
  <c r="K76" i="30"/>
  <c r="AW77" i="30"/>
  <c r="AO80" i="30"/>
  <c r="AY85" i="30"/>
  <c r="AZ85" i="30" s="1"/>
  <c r="AR88" i="30"/>
  <c r="Q85" i="30"/>
  <c r="R85" i="30"/>
  <c r="C87" i="30"/>
  <c r="D87" i="30"/>
  <c r="DJ48" i="30"/>
  <c r="DH48" i="30"/>
  <c r="C89" i="30"/>
  <c r="D89" i="30"/>
  <c r="AS86" i="30"/>
  <c r="AT86" i="30"/>
  <c r="AS89" i="30"/>
  <c r="AT89" i="30"/>
  <c r="BA84" i="30"/>
  <c r="AL83" i="30"/>
  <c r="AM83" i="30"/>
  <c r="AS85" i="30"/>
  <c r="AT85" i="30"/>
  <c r="AS88" i="30"/>
  <c r="AT88" i="30"/>
  <c r="W82" i="30"/>
  <c r="I82" i="30"/>
  <c r="AJ76" i="30"/>
  <c r="O77" i="30"/>
  <c r="Y81" i="30"/>
  <c r="Y76" i="30"/>
  <c r="CH24" i="30"/>
  <c r="AD87" i="30" s="1"/>
  <c r="CD10" i="30"/>
  <c r="P82" i="30" s="1"/>
  <c r="CJ26" i="30"/>
  <c r="T77" i="30"/>
  <c r="T80" i="30"/>
  <c r="T78" i="30"/>
  <c r="T81" i="30"/>
  <c r="T76" i="30"/>
  <c r="T79" i="30"/>
  <c r="D79" i="30"/>
  <c r="B78" i="30"/>
  <c r="AS76" i="30"/>
  <c r="AO77" i="30"/>
  <c r="BA85" i="30"/>
  <c r="AN77" i="30"/>
  <c r="V78" i="30"/>
  <c r="O76" i="30"/>
  <c r="DI19" i="30"/>
  <c r="AC78" i="30"/>
  <c r="CD19" i="30"/>
  <c r="CF19" i="30"/>
  <c r="CH19" i="30"/>
  <c r="AD86" i="30" s="1"/>
  <c r="AU76" i="30"/>
  <c r="BB77" i="30"/>
  <c r="AU77" i="30"/>
  <c r="AU81" i="30"/>
  <c r="BB81" i="30"/>
  <c r="AU80" i="30"/>
  <c r="BB80" i="30"/>
  <c r="AU79" i="30"/>
  <c r="BB79" i="30"/>
  <c r="AU78" i="30"/>
  <c r="BB78" i="30"/>
  <c r="AO76" i="30"/>
  <c r="AT78" i="30"/>
  <c r="O80" i="30"/>
  <c r="Y77" i="30"/>
  <c r="CL31" i="30"/>
  <c r="AR82" i="30" s="1"/>
  <c r="DG44" i="30"/>
  <c r="DI4" i="30"/>
  <c r="C79" i="30"/>
  <c r="CB11" i="30"/>
  <c r="I90" i="30" s="1"/>
  <c r="J78" i="30"/>
  <c r="J81" i="30"/>
  <c r="J77" i="30"/>
  <c r="J80" i="30"/>
  <c r="J79" i="30"/>
  <c r="J76" i="30"/>
  <c r="BE77" i="30"/>
  <c r="BE78" i="30"/>
  <c r="BE79" i="30"/>
  <c r="BE81" i="30"/>
  <c r="BE76" i="30"/>
  <c r="BE80" i="30"/>
  <c r="BA76" i="30"/>
  <c r="AJ2" i="30"/>
  <c r="AK43" i="30" s="1"/>
  <c r="DI31" i="30"/>
  <c r="AX79" i="30"/>
  <c r="AS79" i="30"/>
  <c r="AK76" i="30"/>
  <c r="AK78" i="30"/>
  <c r="AK81" i="30"/>
  <c r="AK80" i="30"/>
  <c r="AK79" i="30"/>
  <c r="AT77" i="30"/>
  <c r="P83" i="30"/>
  <c r="Q83" i="30" s="1"/>
  <c r="P78" i="30"/>
  <c r="AY82" i="30"/>
  <c r="AL77" i="30"/>
  <c r="S77" i="30"/>
  <c r="S76" i="30"/>
  <c r="S79" i="30"/>
  <c r="S80" i="30"/>
  <c r="S78" i="30"/>
  <c r="S81" i="30"/>
  <c r="AK88" i="30"/>
  <c r="AK87" i="30"/>
  <c r="E88" i="30"/>
  <c r="P77" i="30"/>
  <c r="AI77" i="30"/>
  <c r="AG76" i="30"/>
  <c r="AG77" i="30"/>
  <c r="AG78" i="30"/>
  <c r="AG79" i="30"/>
  <c r="AG80" i="30"/>
  <c r="AG81" i="30"/>
  <c r="AF90" i="30"/>
  <c r="AA76" i="30"/>
  <c r="AA79" i="30"/>
  <c r="AA81" i="30"/>
  <c r="AA78" i="30"/>
  <c r="AA80" i="30"/>
  <c r="N76" i="30"/>
  <c r="N79" i="30"/>
  <c r="N77" i="30"/>
  <c r="N78" i="30"/>
  <c r="N80" i="30"/>
  <c r="N81" i="30"/>
  <c r="P80" i="30"/>
  <c r="P81" i="30"/>
  <c r="P79" i="30"/>
  <c r="AI78" i="30"/>
  <c r="AI80" i="30"/>
  <c r="AI79" i="30"/>
  <c r="AI81" i="30"/>
  <c r="BD76" i="30"/>
  <c r="BD79" i="30"/>
  <c r="BD80" i="30"/>
  <c r="BD77" i="30"/>
  <c r="BD78" i="30"/>
  <c r="BD81" i="30"/>
  <c r="AY77" i="30"/>
  <c r="AN79" i="30"/>
  <c r="AN80" i="30"/>
  <c r="AN81" i="30"/>
  <c r="K80" i="30"/>
  <c r="K81" i="30"/>
  <c r="K79" i="30"/>
  <c r="R80" i="30"/>
  <c r="R81" i="30"/>
  <c r="R79" i="30"/>
  <c r="AR76" i="30"/>
  <c r="AR79" i="30"/>
  <c r="AR80" i="30"/>
  <c r="AR78" i="30"/>
  <c r="AR81" i="30"/>
  <c r="AR77" i="30"/>
  <c r="I87" i="30"/>
  <c r="I86" i="30"/>
  <c r="AD85" i="30"/>
  <c r="AE85" i="30" s="1"/>
  <c r="AD84" i="30"/>
  <c r="B85" i="30"/>
  <c r="B86" i="30"/>
  <c r="R77" i="30"/>
  <c r="AJ80" i="30"/>
  <c r="AJ79" i="30"/>
  <c r="AJ81" i="30"/>
  <c r="AM77" i="30"/>
  <c r="AM79" i="30"/>
  <c r="AM80" i="30"/>
  <c r="AM81" i="30"/>
  <c r="AM78" i="30"/>
  <c r="V80" i="30"/>
  <c r="V81" i="30"/>
  <c r="V79" i="30"/>
  <c r="AH76" i="30"/>
  <c r="AH79" i="30"/>
  <c r="AH81" i="30"/>
  <c r="AH77" i="30"/>
  <c r="AH78" i="30"/>
  <c r="AH80" i="30"/>
  <c r="AD76" i="30"/>
  <c r="AD77" i="30"/>
  <c r="AD78" i="30"/>
  <c r="AD80" i="30"/>
  <c r="AD79" i="30"/>
  <c r="AD81" i="30"/>
  <c r="AY79" i="30"/>
  <c r="AY80" i="30"/>
  <c r="AY78" i="30"/>
  <c r="AY81" i="30"/>
  <c r="AQ76" i="30"/>
  <c r="AQ78" i="30"/>
  <c r="AQ81" i="30"/>
  <c r="AQ79" i="30"/>
  <c r="AQ80" i="30"/>
  <c r="AL81" i="30"/>
  <c r="AL78" i="30"/>
  <c r="AL80" i="30"/>
  <c r="AZ76" i="30"/>
  <c r="AZ77" i="30"/>
  <c r="AZ78" i="30"/>
  <c r="AZ81" i="30"/>
  <c r="AZ79" i="30"/>
  <c r="AZ80" i="30"/>
  <c r="W88" i="30"/>
  <c r="X88" i="30" s="1"/>
  <c r="W87" i="30"/>
  <c r="AY83" i="30"/>
  <c r="BC76" i="30"/>
  <c r="BC77" i="30"/>
  <c r="BC78" i="30"/>
  <c r="BC81" i="30"/>
  <c r="BC79" i="30"/>
  <c r="BC80" i="30"/>
  <c r="AV76" i="30"/>
  <c r="AV79" i="30"/>
  <c r="AV80" i="30"/>
  <c r="AV78" i="30"/>
  <c r="AV81" i="30"/>
  <c r="AV77" i="30"/>
  <c r="B84" i="30"/>
  <c r="B83" i="30"/>
  <c r="AD83" i="30"/>
  <c r="AE83" i="30" s="1"/>
  <c r="AD82" i="30"/>
  <c r="AP76" i="30"/>
  <c r="AP77" i="30"/>
  <c r="AP79" i="30"/>
  <c r="AP80" i="30"/>
  <c r="AP78" i="30"/>
  <c r="AP81" i="30"/>
  <c r="X76" i="30"/>
  <c r="X80" i="30"/>
  <c r="X81" i="30"/>
  <c r="X79" i="30"/>
  <c r="X78" i="30"/>
  <c r="W76" i="30"/>
  <c r="W77" i="30"/>
  <c r="W78" i="30"/>
  <c r="W81" i="30"/>
  <c r="W79" i="30"/>
  <c r="W80" i="30"/>
  <c r="AB77" i="30"/>
  <c r="AB78" i="30"/>
  <c r="AB80" i="30"/>
  <c r="AB79" i="30"/>
  <c r="AB81" i="30"/>
  <c r="AE76" i="30"/>
  <c r="AE77" i="30"/>
  <c r="AE78" i="30"/>
  <c r="AE79" i="30"/>
  <c r="AE81" i="30"/>
  <c r="AE80" i="30"/>
  <c r="AF76" i="30"/>
  <c r="AF77" i="30"/>
  <c r="AF78" i="30"/>
  <c r="AF80" i="30"/>
  <c r="AF79" i="30"/>
  <c r="AF81" i="30"/>
  <c r="DH68" i="30"/>
  <c r="DJ68" i="30"/>
  <c r="DH54" i="30"/>
  <c r="DJ54" i="30"/>
  <c r="DH55" i="30"/>
  <c r="DJ55" i="30"/>
  <c r="DJ58" i="30"/>
  <c r="DH58" i="30"/>
  <c r="DH51" i="30"/>
  <c r="DJ51" i="30"/>
  <c r="DH59" i="30"/>
  <c r="DJ59" i="30"/>
  <c r="AK17" i="30"/>
  <c r="AK11" i="30"/>
  <c r="AK38" i="30"/>
  <c r="AK31" i="30"/>
  <c r="AO50" i="30"/>
  <c r="AE50" i="30"/>
  <c r="CP50" i="30" s="1"/>
  <c r="DJ57" i="30"/>
  <c r="DH57" i="30"/>
  <c r="AK2" i="30"/>
  <c r="AK20" i="30"/>
  <c r="AK22" i="30"/>
  <c r="AK23" i="30"/>
  <c r="AK16" i="30"/>
  <c r="AK24" i="30"/>
  <c r="AK30" i="30"/>
  <c r="AK27" i="30"/>
  <c r="AK36" i="30"/>
  <c r="AZ82" i="30"/>
  <c r="BA82" i="30"/>
  <c r="AK42" i="30"/>
  <c r="AE58" i="30"/>
  <c r="CP58" i="30" s="1"/>
  <c r="AO58" i="30"/>
  <c r="DE66" i="30"/>
  <c r="DG66" i="30"/>
  <c r="Q84" i="30"/>
  <c r="R84" i="30"/>
  <c r="AK29" i="30"/>
  <c r="AM3" i="30"/>
  <c r="AN41" i="30" s="1"/>
  <c r="AG3" i="30"/>
  <c r="AH14" i="30" s="1"/>
  <c r="DN3" i="30"/>
  <c r="DN7" i="30"/>
  <c r="DN6" i="30"/>
  <c r="DN5" i="30"/>
  <c r="DN2" i="30"/>
  <c r="DN4" i="30"/>
  <c r="DN9" i="30"/>
  <c r="DN14" i="30"/>
  <c r="DN10" i="30"/>
  <c r="DN11" i="30"/>
  <c r="DN12" i="30"/>
  <c r="DN8" i="30"/>
  <c r="DN13" i="30"/>
  <c r="DN16" i="30"/>
  <c r="DN19" i="30"/>
  <c r="DN25" i="30"/>
  <c r="DN20" i="30"/>
  <c r="DN21" i="30"/>
  <c r="DN22" i="30"/>
  <c r="DN23" i="30"/>
  <c r="DN17" i="30"/>
  <c r="DN24" i="30"/>
  <c r="DN15" i="30"/>
  <c r="DN18" i="30"/>
  <c r="DN27" i="30"/>
  <c r="DN28" i="30"/>
  <c r="DN29" i="30"/>
  <c r="DN26" i="30"/>
  <c r="DN36" i="30"/>
  <c r="DN37" i="30"/>
  <c r="DN38" i="30"/>
  <c r="DN39" i="30"/>
  <c r="DN40" i="30"/>
  <c r="DN44" i="30"/>
  <c r="DN30" i="30"/>
  <c r="DN32" i="30"/>
  <c r="DN33" i="30"/>
  <c r="DN34" i="30"/>
  <c r="DN35" i="30"/>
  <c r="DN31" i="30"/>
  <c r="DN41" i="30"/>
  <c r="DN45" i="30"/>
  <c r="DN48" i="30"/>
  <c r="DN52" i="30"/>
  <c r="DN56" i="30"/>
  <c r="DN60" i="30"/>
  <c r="DN42" i="30"/>
  <c r="DN47" i="30"/>
  <c r="DN51" i="30"/>
  <c r="DN55" i="30"/>
  <c r="DN43" i="30"/>
  <c r="DN46" i="30"/>
  <c r="DN50" i="30"/>
  <c r="DN54" i="30"/>
  <c r="DN58" i="30"/>
  <c r="DN62" i="30"/>
  <c r="DN66" i="30"/>
  <c r="DN49" i="30"/>
  <c r="DN53" i="30"/>
  <c r="DN57" i="30"/>
  <c r="DN61" i="30"/>
  <c r="DN63" i="30"/>
  <c r="DN70" i="30"/>
  <c r="DN59" i="30"/>
  <c r="DN64" i="30"/>
  <c r="DN67" i="30"/>
  <c r="DN69" i="30"/>
  <c r="DN68" i="30"/>
  <c r="DN65" i="30"/>
  <c r="J87" i="30"/>
  <c r="K87" i="30"/>
  <c r="AH13" i="30"/>
  <c r="AK18" i="30"/>
  <c r="AK12" i="30"/>
  <c r="AH17" i="30"/>
  <c r="AK15" i="30"/>
  <c r="AH20" i="30"/>
  <c r="AK10" i="30"/>
  <c r="AK14" i="30"/>
  <c r="AL88" i="30"/>
  <c r="AM88" i="30"/>
  <c r="AH27" i="30"/>
  <c r="AK26" i="30"/>
  <c r="AK33" i="30"/>
  <c r="AH37" i="30"/>
  <c r="AK39" i="30"/>
  <c r="AK32" i="30"/>
  <c r="AK37" i="30"/>
  <c r="AO54" i="30"/>
  <c r="AE54" i="30"/>
  <c r="CP54" i="30" s="1"/>
  <c r="AK40" i="30"/>
  <c r="DJ61" i="30"/>
  <c r="DH61" i="30"/>
  <c r="DJ67" i="30"/>
  <c r="DH67" i="30"/>
  <c r="DJ52" i="30"/>
  <c r="DH52" i="30"/>
  <c r="DH64" i="30"/>
  <c r="DJ64" i="30"/>
  <c r="DG46" i="30"/>
  <c r="AK21" i="30"/>
  <c r="AK25" i="30"/>
  <c r="AK28" i="30"/>
  <c r="DH63" i="30"/>
  <c r="DJ63" i="30"/>
  <c r="DG45" i="30"/>
  <c r="DJ56" i="30"/>
  <c r="DH56" i="30"/>
  <c r="AH6" i="30"/>
  <c r="AH11" i="30"/>
  <c r="AK9" i="30"/>
  <c r="AH29" i="30"/>
  <c r="AK3" i="30"/>
  <c r="C84" i="30"/>
  <c r="D84" i="30"/>
  <c r="AH7" i="30"/>
  <c r="AK6" i="30"/>
  <c r="AH10" i="30"/>
  <c r="DI14" i="30"/>
  <c r="CF14" i="30"/>
  <c r="W83" i="30" s="1"/>
  <c r="AC76" i="30"/>
  <c r="X77" i="30"/>
  <c r="Z78" i="30"/>
  <c r="Y79" i="30"/>
  <c r="AB76" i="30"/>
  <c r="AA77" i="30"/>
  <c r="AK13" i="30"/>
  <c r="AH19" i="30"/>
  <c r="DI24" i="30"/>
  <c r="CJ24" i="30"/>
  <c r="AK77" i="30"/>
  <c r="AO78" i="30"/>
  <c r="AM76" i="30"/>
  <c r="AN76" i="30"/>
  <c r="AQ77" i="30"/>
  <c r="AL79" i="30"/>
  <c r="AH16" i="30"/>
  <c r="AK19" i="30"/>
  <c r="AF85" i="30"/>
  <c r="AH26" i="30"/>
  <c r="AH33" i="30"/>
  <c r="AH32" i="30"/>
  <c r="AN36" i="30"/>
  <c r="AK35" i="30"/>
  <c r="AK41" i="30"/>
  <c r="AK34" i="30"/>
  <c r="AZ83" i="30"/>
  <c r="BA83" i="30"/>
  <c r="DH47" i="30"/>
  <c r="DJ47" i="30"/>
  <c r="DH50" i="30"/>
  <c r="DJ50" i="30"/>
  <c r="DG62" i="30"/>
  <c r="DE62" i="30"/>
  <c r="AE62" i="30"/>
  <c r="CP62" i="30" s="1"/>
  <c r="AO62" i="30"/>
  <c r="DH69" i="30"/>
  <c r="DJ69" i="30"/>
  <c r="DJ70" i="30"/>
  <c r="DH70" i="30"/>
  <c r="F92" i="26"/>
  <c r="CK59" i="27"/>
  <c r="Q59" i="27"/>
  <c r="F31" i="26"/>
  <c r="E51" i="26"/>
  <c r="F72" i="26"/>
  <c r="F33" i="26"/>
  <c r="E53" i="26"/>
  <c r="F74" i="26"/>
  <c r="F96" i="26"/>
  <c r="CV74" i="27"/>
  <c r="CK81" i="27"/>
  <c r="Q84" i="27"/>
  <c r="CV64" i="27"/>
  <c r="CK65" i="27"/>
  <c r="Q66" i="27"/>
  <c r="CV66" i="27"/>
  <c r="CV71" i="27"/>
  <c r="Q72" i="27"/>
  <c r="CV81" i="27"/>
  <c r="CV84" i="27"/>
  <c r="CV58" i="27"/>
  <c r="CV59" i="27"/>
  <c r="P24" i="26"/>
  <c r="CO10" i="27"/>
  <c r="CS10" i="27"/>
  <c r="CU10" i="27"/>
  <c r="P27" i="26"/>
  <c r="P20" i="26"/>
  <c r="F81" i="26" s="1"/>
  <c r="P18" i="26"/>
  <c r="F38" i="26" s="1"/>
  <c r="CV17" i="27"/>
  <c r="P17" i="27" s="1"/>
  <c r="CV18" i="27"/>
  <c r="P18" i="27" s="1"/>
  <c r="CV24" i="27"/>
  <c r="P24" i="27" s="1"/>
  <c r="CP12" i="27"/>
  <c r="CT12" i="27"/>
  <c r="CV21" i="27"/>
  <c r="P21" i="27" s="1"/>
  <c r="CV26" i="27"/>
  <c r="P26" i="27" s="1"/>
  <c r="CR127" i="27"/>
  <c r="CR124" i="27" s="1"/>
  <c r="CV30" i="27"/>
  <c r="P30" i="27" s="1"/>
  <c r="CV45" i="27"/>
  <c r="P45" i="27" s="1"/>
  <c r="CP127" i="27"/>
  <c r="CP124" i="27" s="1"/>
  <c r="CT127" i="27"/>
  <c r="CT124" i="27" s="1"/>
  <c r="CV38" i="27"/>
  <c r="P38" i="27" s="1"/>
  <c r="CV40" i="27"/>
  <c r="P40" i="27" s="1"/>
  <c r="CV42" i="27"/>
  <c r="P42" i="27" s="1"/>
  <c r="CV43" i="27"/>
  <c r="P43" i="27" s="1"/>
  <c r="CV47" i="27"/>
  <c r="P47" i="27" s="1"/>
  <c r="CV54" i="27"/>
  <c r="P54" i="27" s="1"/>
  <c r="CV34" i="27"/>
  <c r="P34" i="27" s="1"/>
  <c r="CO127" i="27"/>
  <c r="CO124" i="27" s="1"/>
  <c r="CS127" i="27"/>
  <c r="CS124" i="27" s="1"/>
  <c r="CV41" i="27"/>
  <c r="P41" i="27" s="1"/>
  <c r="CV51" i="27"/>
  <c r="P51" i="27" s="1"/>
  <c r="CV52" i="27"/>
  <c r="P52" i="27" s="1"/>
  <c r="CV46" i="27"/>
  <c r="P46" i="27" s="1"/>
  <c r="CV50" i="27"/>
  <c r="P50" i="27" s="1"/>
  <c r="CN127" i="27"/>
  <c r="CN124" i="27" s="1"/>
  <c r="CQ127" i="27"/>
  <c r="CQ124" i="27" s="1"/>
  <c r="CV36" i="27"/>
  <c r="P36" i="27" s="1"/>
  <c r="CV49" i="27"/>
  <c r="P49" i="27" s="1"/>
  <c r="CV53" i="27"/>
  <c r="P53" i="27" s="1"/>
  <c r="CV55" i="27"/>
  <c r="P55" i="27" s="1"/>
  <c r="CK58" i="27"/>
  <c r="CK62" i="27"/>
  <c r="BT61" i="27"/>
  <c r="CV60" i="27"/>
  <c r="CV62" i="27"/>
  <c r="CK64" i="27"/>
  <c r="CV65" i="27"/>
  <c r="CV69" i="27"/>
  <c r="CV70" i="27"/>
  <c r="CV73" i="27"/>
  <c r="CK74" i="27"/>
  <c r="Q75" i="27"/>
  <c r="CK75" i="27"/>
  <c r="CK70" i="27"/>
  <c r="CK71" i="27"/>
  <c r="CK68" i="27"/>
  <c r="Q71" i="27"/>
  <c r="Q76" i="27"/>
  <c r="CK76" i="27"/>
  <c r="CV76" i="27"/>
  <c r="CV72" i="27"/>
  <c r="CV75" i="27"/>
  <c r="CK80" i="27"/>
  <c r="CK83" i="27"/>
  <c r="Q83" i="27"/>
  <c r="CV79" i="27"/>
  <c r="CV80" i="27"/>
  <c r="CV83" i="27"/>
  <c r="Q82" i="27"/>
  <c r="CK82" i="27"/>
  <c r="CV82" i="27"/>
  <c r="F181" i="26"/>
  <c r="F179" i="26"/>
  <c r="F177" i="26"/>
  <c r="F175" i="26"/>
  <c r="E181" i="26"/>
  <c r="E179" i="26"/>
  <c r="E177" i="26"/>
  <c r="E175" i="26"/>
  <c r="F180" i="26"/>
  <c r="F178" i="26"/>
  <c r="F176" i="26"/>
  <c r="E176" i="26"/>
  <c r="E160" i="26"/>
  <c r="E158" i="26"/>
  <c r="E156" i="26"/>
  <c r="F140" i="26"/>
  <c r="F138" i="26"/>
  <c r="F136" i="26"/>
  <c r="F134" i="26"/>
  <c r="E119" i="26"/>
  <c r="E117" i="26"/>
  <c r="E115" i="26"/>
  <c r="F161" i="26"/>
  <c r="F159" i="26"/>
  <c r="F157" i="26"/>
  <c r="F155" i="26"/>
  <c r="E140" i="26"/>
  <c r="E138" i="26"/>
  <c r="E136" i="26"/>
  <c r="E134" i="26"/>
  <c r="E180" i="26"/>
  <c r="E161" i="26"/>
  <c r="E159" i="26"/>
  <c r="E157" i="26"/>
  <c r="E155" i="26"/>
  <c r="F139" i="26"/>
  <c r="F137" i="26"/>
  <c r="F135" i="26"/>
  <c r="E118" i="26"/>
  <c r="E116" i="26"/>
  <c r="E137" i="26"/>
  <c r="F116" i="26"/>
  <c r="F113" i="26"/>
  <c r="E97" i="26"/>
  <c r="E95" i="26"/>
  <c r="E93" i="26"/>
  <c r="E178" i="26"/>
  <c r="F160" i="26"/>
  <c r="E135" i="26"/>
  <c r="F119" i="26"/>
  <c r="F115" i="26"/>
  <c r="E113" i="26"/>
  <c r="F158" i="26"/>
  <c r="F118" i="26"/>
  <c r="F114" i="26"/>
  <c r="E98" i="26"/>
  <c r="E96" i="26"/>
  <c r="E94" i="26"/>
  <c r="E92" i="26"/>
  <c r="P17" i="26"/>
  <c r="F17" i="26" s="1"/>
  <c r="P21" i="26"/>
  <c r="F102" i="26" s="1"/>
  <c r="P25" i="26"/>
  <c r="E30" i="26"/>
  <c r="E32" i="26"/>
  <c r="E34" i="26"/>
  <c r="F49" i="26"/>
  <c r="F51" i="26"/>
  <c r="F53" i="26"/>
  <c r="F55" i="26"/>
  <c r="E70" i="26"/>
  <c r="E73" i="26"/>
  <c r="E75" i="26"/>
  <c r="F93" i="26"/>
  <c r="F97" i="26"/>
  <c r="F156" i="26"/>
  <c r="P22" i="26"/>
  <c r="F123" i="26" s="1"/>
  <c r="E28" i="26"/>
  <c r="F30" i="26"/>
  <c r="F32" i="26"/>
  <c r="F34" i="26"/>
  <c r="E50" i="26"/>
  <c r="E52" i="26"/>
  <c r="E54" i="26"/>
  <c r="F70" i="26"/>
  <c r="E71" i="26"/>
  <c r="F73" i="26"/>
  <c r="F75" i="26"/>
  <c r="F94" i="26"/>
  <c r="F98" i="26"/>
  <c r="P19" i="26"/>
  <c r="F59" i="26" s="1"/>
  <c r="P23" i="26"/>
  <c r="F144" i="26" s="1"/>
  <c r="F28" i="26"/>
  <c r="E29" i="26"/>
  <c r="E31" i="26"/>
  <c r="E33" i="26"/>
  <c r="F50" i="26"/>
  <c r="F52" i="26"/>
  <c r="F54" i="26"/>
  <c r="F71" i="26"/>
  <c r="E72" i="26"/>
  <c r="E74" i="26"/>
  <c r="E76" i="26"/>
  <c r="F95" i="26"/>
  <c r="E114" i="26"/>
  <c r="N185" i="26"/>
  <c r="P184" i="26"/>
  <c r="A19" i="11"/>
  <c r="T39" i="4"/>
  <c r="S39" i="4"/>
  <c r="R39" i="4"/>
  <c r="Q39" i="4"/>
  <c r="P39" i="4"/>
  <c r="O39" i="4"/>
  <c r="Q38" i="4"/>
  <c r="P38" i="4"/>
  <c r="O38" i="4"/>
  <c r="T16" i="4"/>
  <c r="S16" i="4"/>
  <c r="R16" i="4"/>
  <c r="Q16" i="4"/>
  <c r="L87" i="30" l="1"/>
  <c r="E82" i="30"/>
  <c r="BB83" i="30"/>
  <c r="Y88" i="30"/>
  <c r="R83" i="30"/>
  <c r="E84" i="30"/>
  <c r="BB82" i="30"/>
  <c r="S84" i="30"/>
  <c r="S83" i="30"/>
  <c r="L83" i="30"/>
  <c r="I88" i="30"/>
  <c r="AF83" i="30"/>
  <c r="E89" i="30"/>
  <c r="AS87" i="30"/>
  <c r="AT87" i="30"/>
  <c r="AG85" i="30"/>
  <c r="S85" i="30"/>
  <c r="E87" i="30"/>
  <c r="AK85" i="30"/>
  <c r="I89" i="30"/>
  <c r="C88" i="30"/>
  <c r="D88" i="30"/>
  <c r="AN24" i="30"/>
  <c r="AN30" i="30"/>
  <c r="DJ44" i="30"/>
  <c r="DH44" i="30"/>
  <c r="AE87" i="30"/>
  <c r="AF87" i="30"/>
  <c r="AK82" i="30"/>
  <c r="AL82" i="30" s="1"/>
  <c r="AK86" i="30"/>
  <c r="AN40" i="30"/>
  <c r="J90" i="30"/>
  <c r="K90" i="30"/>
  <c r="AS82" i="30"/>
  <c r="AT82" i="30"/>
  <c r="AE86" i="30"/>
  <c r="AF86" i="30"/>
  <c r="J82" i="30"/>
  <c r="K82" i="30"/>
  <c r="AL85" i="30"/>
  <c r="AM85" i="30"/>
  <c r="X82" i="30"/>
  <c r="Y82" i="30"/>
  <c r="AK8" i="30"/>
  <c r="AK4" i="30"/>
  <c r="AK5" i="30"/>
  <c r="P87" i="30"/>
  <c r="P86" i="30"/>
  <c r="AK7" i="30"/>
  <c r="W84" i="30"/>
  <c r="Q82" i="30"/>
  <c r="R82" i="30"/>
  <c r="AL87" i="30"/>
  <c r="AM87" i="30"/>
  <c r="C85" i="30"/>
  <c r="D85" i="30"/>
  <c r="E85" i="30"/>
  <c r="AG83" i="30"/>
  <c r="S82" i="30"/>
  <c r="J86" i="30"/>
  <c r="L86" i="30"/>
  <c r="K86" i="30"/>
  <c r="L82" i="30"/>
  <c r="L90" i="30"/>
  <c r="L88" i="30"/>
  <c r="L85" i="30"/>
  <c r="L84" i="30"/>
  <c r="Z88" i="30"/>
  <c r="C86" i="30"/>
  <c r="D86" i="30"/>
  <c r="E86" i="30"/>
  <c r="AE84" i="30"/>
  <c r="AF84" i="30"/>
  <c r="Z84" i="30"/>
  <c r="BB86" i="30"/>
  <c r="BB84" i="30"/>
  <c r="BB85" i="30"/>
  <c r="AE82" i="30"/>
  <c r="AG82" i="30"/>
  <c r="AF82" i="30"/>
  <c r="AG84" i="30"/>
  <c r="AG86" i="30"/>
  <c r="AG87" i="30"/>
  <c r="AU82" i="30"/>
  <c r="AU90" i="30"/>
  <c r="AU86" i="30"/>
  <c r="AU85" i="30"/>
  <c r="AU88" i="30"/>
  <c r="AU87" i="30"/>
  <c r="AU83" i="30"/>
  <c r="AU84" i="30"/>
  <c r="AU89" i="30"/>
  <c r="X87" i="30"/>
  <c r="Y87" i="30"/>
  <c r="C83" i="30"/>
  <c r="D83" i="30"/>
  <c r="E83" i="30"/>
  <c r="AN87" i="30"/>
  <c r="AN84" i="30"/>
  <c r="AN85" i="30"/>
  <c r="AN86" i="30"/>
  <c r="AN83" i="30"/>
  <c r="X83" i="30"/>
  <c r="Y83" i="30"/>
  <c r="Z83" i="30"/>
  <c r="AN35" i="30"/>
  <c r="AH25" i="30"/>
  <c r="AN17" i="30"/>
  <c r="AH24" i="30"/>
  <c r="AH30" i="30"/>
  <c r="AN22" i="30"/>
  <c r="AN12" i="30"/>
  <c r="DJ62" i="30"/>
  <c r="DH62" i="30"/>
  <c r="AN7" i="30"/>
  <c r="AH28" i="30"/>
  <c r="AN2" i="30"/>
  <c r="AN88" i="30"/>
  <c r="AN9" i="30"/>
  <c r="AN39" i="30"/>
  <c r="DJ66" i="30"/>
  <c r="DH66" i="30"/>
  <c r="DH46" i="30"/>
  <c r="DJ46" i="30"/>
  <c r="AH3" i="30"/>
  <c r="AH31" i="30"/>
  <c r="AH9" i="30"/>
  <c r="AH5" i="30"/>
  <c r="AH18" i="30"/>
  <c r="AH15" i="30"/>
  <c r="AH38" i="30"/>
  <c r="AH34" i="30"/>
  <c r="AH22" i="30"/>
  <c r="AH21" i="30"/>
  <c r="AH4" i="30"/>
  <c r="AH12" i="30"/>
  <c r="AH2" i="30"/>
  <c r="AH8" i="30"/>
  <c r="AH23" i="30"/>
  <c r="Z86" i="30"/>
  <c r="Z82" i="30"/>
  <c r="Z87" i="30"/>
  <c r="Z85" i="30"/>
  <c r="DH45" i="30"/>
  <c r="DJ45" i="30"/>
  <c r="AN3" i="30"/>
  <c r="AN42" i="30"/>
  <c r="AN31" i="30"/>
  <c r="AN29" i="30"/>
  <c r="AN26" i="30"/>
  <c r="AN21" i="30"/>
  <c r="AN23" i="30"/>
  <c r="AN32" i="30"/>
  <c r="AN13" i="30"/>
  <c r="AN25" i="30"/>
  <c r="AN19" i="30"/>
  <c r="AN43" i="30"/>
  <c r="AN18" i="30"/>
  <c r="AN20" i="30"/>
  <c r="AN28" i="30"/>
  <c r="AN11" i="30"/>
  <c r="AN15" i="30"/>
  <c r="AN6" i="30"/>
  <c r="AN5" i="30"/>
  <c r="AN10" i="30"/>
  <c r="AN34" i="30"/>
  <c r="AN27" i="30"/>
  <c r="AN14" i="30"/>
  <c r="AN8" i="30"/>
  <c r="AN37" i="30"/>
  <c r="AN38" i="30"/>
  <c r="AN16" i="30"/>
  <c r="AN4" i="30"/>
  <c r="AN33" i="30"/>
  <c r="CT10" i="27"/>
  <c r="CP10" i="27"/>
  <c r="AN82" i="30" l="1"/>
  <c r="AM82" i="30"/>
  <c r="K88" i="30"/>
  <c r="J88" i="30"/>
  <c r="L89" i="30"/>
  <c r="J89" i="30"/>
  <c r="K89" i="30"/>
  <c r="X84" i="30"/>
  <c r="Y84" i="30"/>
  <c r="AL86" i="30"/>
  <c r="AM86" i="30"/>
  <c r="Q87" i="30"/>
  <c r="R87" i="30"/>
  <c r="S87" i="30"/>
  <c r="Q86" i="30"/>
  <c r="R86" i="30"/>
  <c r="S86" i="30"/>
  <c r="B1" i="11"/>
  <c r="A51" i="11"/>
  <c r="A30" i="11"/>
  <c r="A28" i="11"/>
  <c r="B14" i="9" l="1"/>
  <c r="B15" i="9"/>
  <c r="B31" i="9"/>
  <c r="B29" i="9" s="1"/>
  <c r="B11" i="9"/>
  <c r="A50" i="11"/>
  <c r="A47" i="11"/>
  <c r="A44" i="11"/>
  <c r="A41" i="11"/>
  <c r="E33" i="11"/>
  <c r="E34" i="11"/>
  <c r="A29" i="11"/>
  <c r="A27" i="11"/>
  <c r="O6" i="23"/>
  <c r="R6" i="23"/>
  <c r="O7" i="23"/>
  <c r="R7" i="23"/>
  <c r="O8" i="23"/>
  <c r="R8" i="23"/>
  <c r="O9" i="23"/>
  <c r="O10" i="23"/>
  <c r="B47" i="11"/>
  <c r="J36" i="9"/>
  <c r="E32" i="9" s="1"/>
  <c r="E1" i="11"/>
  <c r="A23" i="11"/>
  <c r="E23" i="11"/>
  <c r="A24" i="11"/>
  <c r="E24" i="11"/>
  <c r="A25" i="11"/>
  <c r="E25" i="11"/>
  <c r="A26" i="11"/>
  <c r="E26" i="11"/>
  <c r="E27" i="11"/>
  <c r="A31" i="11"/>
  <c r="A32" i="11"/>
  <c r="E31" i="11"/>
  <c r="E32" i="11"/>
  <c r="A34" i="11"/>
  <c r="E35" i="11"/>
  <c r="B38" i="11"/>
  <c r="K38" i="11"/>
  <c r="L38" i="11"/>
  <c r="M38" i="11"/>
  <c r="N38" i="11"/>
  <c r="O38" i="11"/>
  <c r="P38" i="11"/>
  <c r="R38" i="11"/>
  <c r="S38" i="11"/>
  <c r="A39" i="11"/>
  <c r="K39" i="11"/>
  <c r="L39" i="11"/>
  <c r="M39" i="11"/>
  <c r="N39" i="11"/>
  <c r="O39" i="11"/>
  <c r="P39" i="11"/>
  <c r="R39" i="11"/>
  <c r="S39" i="11"/>
  <c r="B41" i="11"/>
  <c r="K41" i="11"/>
  <c r="L41" i="11"/>
  <c r="M41" i="11"/>
  <c r="N41" i="11"/>
  <c r="O41" i="11"/>
  <c r="P41" i="11"/>
  <c r="R41" i="11"/>
  <c r="S41" i="11"/>
  <c r="A42" i="11"/>
  <c r="K42" i="11"/>
  <c r="L42" i="11"/>
  <c r="M42" i="11"/>
  <c r="N42" i="11"/>
  <c r="O42" i="11"/>
  <c r="P42" i="11"/>
  <c r="R42" i="11"/>
  <c r="S42" i="11"/>
  <c r="B44" i="11"/>
  <c r="K44" i="11"/>
  <c r="L44" i="11"/>
  <c r="M44" i="11"/>
  <c r="N44" i="11"/>
  <c r="O44" i="11"/>
  <c r="P44" i="11"/>
  <c r="R44" i="11"/>
  <c r="S44" i="11"/>
  <c r="A45" i="11"/>
  <c r="K45" i="11"/>
  <c r="L45" i="11"/>
  <c r="M45" i="11"/>
  <c r="N45" i="11"/>
  <c r="O45" i="11"/>
  <c r="P45" i="11"/>
  <c r="R45" i="11"/>
  <c r="S45" i="11"/>
  <c r="K47" i="11"/>
  <c r="L47" i="11"/>
  <c r="M47" i="11"/>
  <c r="N47" i="11"/>
  <c r="O47" i="11"/>
  <c r="P47" i="11"/>
  <c r="R47" i="11"/>
  <c r="S47" i="11"/>
  <c r="A48" i="11"/>
  <c r="K48" i="11"/>
  <c r="L48" i="11"/>
  <c r="M48" i="11"/>
  <c r="N48" i="11"/>
  <c r="O48" i="11"/>
  <c r="P48" i="11"/>
  <c r="R48" i="11"/>
  <c r="S48" i="11"/>
  <c r="A70" i="11"/>
  <c r="A71" i="11"/>
  <c r="A72" i="11"/>
  <c r="A73" i="11"/>
  <c r="A74" i="11"/>
  <c r="A75" i="11"/>
  <c r="A76" i="11"/>
  <c r="A77" i="11"/>
  <c r="A78" i="11"/>
  <c r="A79" i="11"/>
  <c r="A83" i="11"/>
  <c r="A84" i="11"/>
  <c r="A85" i="11"/>
  <c r="A86" i="11"/>
  <c r="A87" i="11"/>
  <c r="A88" i="11"/>
  <c r="A3" i="9"/>
  <c r="B26" i="9"/>
  <c r="B27" i="9"/>
  <c r="E23" i="9"/>
  <c r="B43" i="9"/>
  <c r="B47" i="9"/>
  <c r="B41" i="9" l="1"/>
  <c r="E41" i="9"/>
  <c r="A38" i="11"/>
  <c r="B21" i="9"/>
  <c r="B17" i="9" s="1"/>
  <c r="E33" i="9"/>
  <c r="E29" i="9" s="1"/>
  <c r="B13" i="9" l="1"/>
  <c r="A16" i="11" l="1"/>
  <c r="E13" i="9"/>
  <c r="E28" i="11" l="1"/>
  <c r="B37" i="9" l="1"/>
  <c r="B25" i="9"/>
  <c r="B23" i="9" s="1"/>
  <c r="E12" i="9"/>
  <c r="E11" i="9"/>
  <c r="E9" i="9" l="1"/>
  <c r="E52" i="9" s="1"/>
  <c r="E54" i="9" s="1"/>
  <c r="B35" i="9"/>
  <c r="B12" i="9"/>
  <c r="B9" i="9" s="1"/>
  <c r="B52" i="9" l="1"/>
  <c r="B54" i="9" s="1"/>
  <c r="E30" i="11" l="1"/>
  <c r="A20" i="11" l="1"/>
  <c r="E29" i="11" l="1"/>
  <c r="I7" i="25" l="1"/>
  <c r="J6" i="25"/>
  <c r="C9" i="25" l="1"/>
  <c r="I17" i="25"/>
  <c r="I16" i="25"/>
  <c r="I14" i="25"/>
  <c r="I15" i="25"/>
  <c r="H15" i="25" l="1"/>
  <c r="H14" i="25"/>
  <c r="H16" i="25"/>
  <c r="H17" i="25"/>
  <c r="J15" i="25"/>
  <c r="J16" i="25"/>
  <c r="J14" i="25"/>
  <c r="J17" i="25"/>
  <c r="I18" i="25"/>
  <c r="J18" i="25" l="1"/>
  <c r="B10" i="25" l="1"/>
  <c r="J9" i="25"/>
  <c r="J10" i="25"/>
  <c r="C10" i="25" l="1"/>
  <c r="G9" i="25"/>
  <c r="C11" i="25" l="1"/>
  <c r="D15" i="25"/>
  <c r="D16" i="25"/>
  <c r="D17" i="25"/>
  <c r="D18" i="25"/>
  <c r="D19" i="25"/>
  <c r="D20" i="25"/>
  <c r="D21" i="25"/>
  <c r="E20" i="25"/>
  <c r="E15" i="25"/>
  <c r="C15" i="25"/>
  <c r="F16" i="25"/>
  <c r="C18" i="25"/>
  <c r="C21" i="25"/>
  <c r="E17" i="25"/>
  <c r="F20" i="25"/>
  <c r="C16" i="25"/>
  <c r="F19" i="25"/>
  <c r="E21" i="25"/>
  <c r="C17" i="25"/>
  <c r="E18" i="25"/>
  <c r="E16" i="25"/>
  <c r="C20" i="25"/>
  <c r="F17" i="25"/>
  <c r="F21" i="25"/>
  <c r="C19" i="25"/>
  <c r="E19" i="25"/>
  <c r="F15" i="25"/>
  <c r="F18" i="25"/>
  <c r="D22" i="25" l="1"/>
  <c r="F22" i="25"/>
  <c r="B16" i="25"/>
  <c r="B20" i="25"/>
  <c r="B18" i="25"/>
  <c r="B17" i="25"/>
  <c r="F7" i="25"/>
  <c r="B19" i="25"/>
  <c r="F5" i="25"/>
  <c r="E22" i="25"/>
  <c r="B21" i="25"/>
  <c r="F6" i="25"/>
  <c r="B15" i="25"/>
  <c r="C22" i="25"/>
  <c r="D9" i="25" l="1"/>
  <c r="C6" i="25"/>
  <c r="L6" i="25"/>
  <c r="D4" i="25"/>
  <c r="D23" i="25"/>
  <c r="D6" i="25"/>
  <c r="D7" i="25"/>
  <c r="C7" i="25"/>
  <c r="C23" i="25"/>
  <c r="D5" i="25"/>
  <c r="F23" i="25" l="1"/>
  <c r="J4" i="25"/>
  <c r="E23" i="25"/>
  <c r="L4" i="25" l="1"/>
  <c r="J5" i="25"/>
  <c r="L5" i="25" l="1"/>
  <c r="E82" i="27" l="1"/>
  <c r="E77" i="27"/>
  <c r="E76" i="27"/>
  <c r="E71" i="27"/>
  <c r="E64" i="27"/>
  <c r="E48" i="27"/>
  <c r="E47" i="27"/>
  <c r="E45" i="27"/>
  <c r="E44" i="27"/>
  <c r="E40" i="27"/>
  <c r="E36" i="27"/>
  <c r="E31" i="27"/>
  <c r="E30" i="27"/>
  <c r="E26" i="27"/>
  <c r="E22" i="27"/>
  <c r="E18" i="27"/>
  <c r="E16" i="27"/>
  <c r="E84" i="27"/>
  <c r="E70" i="27"/>
  <c r="E69" i="27"/>
  <c r="E68" i="27"/>
  <c r="E83" i="27"/>
  <c r="E81" i="27"/>
  <c r="E80" i="27"/>
  <c r="E79" i="27"/>
  <c r="E75" i="27"/>
  <c r="E73" i="27"/>
  <c r="E67" i="27"/>
  <c r="E78" i="27"/>
  <c r="E74" i="27"/>
  <c r="E72" i="27"/>
  <c r="E66" i="27"/>
  <c r="E63" i="27"/>
  <c r="E58" i="27"/>
  <c r="E53" i="27"/>
  <c r="E49" i="27"/>
  <c r="E46" i="27"/>
  <c r="E43" i="27"/>
  <c r="E41" i="27"/>
  <c r="E32" i="27"/>
  <c r="E28" i="27"/>
  <c r="E24" i="27"/>
  <c r="E17" i="27"/>
  <c r="E57" i="27"/>
  <c r="E56" i="27"/>
  <c r="E52" i="27"/>
  <c r="E50" i="27"/>
  <c r="E38" i="27"/>
  <c r="E33" i="27"/>
  <c r="E20" i="27"/>
  <c r="E65" i="27"/>
  <c r="E61" i="27"/>
  <c r="E60" i="27"/>
  <c r="E59" i="27"/>
  <c r="E54" i="27"/>
  <c r="E39" i="27"/>
  <c r="E19" i="27"/>
  <c r="E62" i="27"/>
  <c r="E55" i="27"/>
  <c r="E51" i="27"/>
  <c r="E42" i="27"/>
  <c r="E37" i="27"/>
  <c r="E35" i="27"/>
  <c r="E34" i="27"/>
  <c r="E29" i="27"/>
  <c r="E27" i="27"/>
  <c r="E23" i="27"/>
  <c r="E25" i="27"/>
  <c r="E21" i="27"/>
  <c r="B25" i="27" l="1"/>
  <c r="C25" i="27" s="1"/>
  <c r="CM25" i="27"/>
  <c r="CW25" i="27"/>
  <c r="DJ25" i="27"/>
  <c r="DP25" i="27" s="1"/>
  <c r="Y25" i="27"/>
  <c r="Y34" i="27"/>
  <c r="CM34" i="27"/>
  <c r="B34" i="27"/>
  <c r="DJ34" i="27"/>
  <c r="DP34" i="27" s="1"/>
  <c r="CW34" i="27"/>
  <c r="CM51" i="27"/>
  <c r="DJ51" i="27"/>
  <c r="DP51" i="27" s="1"/>
  <c r="Y51" i="27"/>
  <c r="B51" i="27"/>
  <c r="CW51" i="27" s="1"/>
  <c r="C51" i="27"/>
  <c r="CW39" i="27"/>
  <c r="B39" i="27"/>
  <c r="CM39" i="27"/>
  <c r="DJ39" i="27"/>
  <c r="DP39" i="27" s="1"/>
  <c r="C39" i="27"/>
  <c r="Y39" i="27"/>
  <c r="DH61" i="27"/>
  <c r="C61" i="27"/>
  <c r="B61" i="27"/>
  <c r="CW61" i="27"/>
  <c r="Y61" i="27"/>
  <c r="CX61" i="27"/>
  <c r="DJ61" i="27"/>
  <c r="DP61" i="27" s="1"/>
  <c r="Y38" i="27"/>
  <c r="CM38" i="27"/>
  <c r="B38" i="27"/>
  <c r="C38" i="27" s="1"/>
  <c r="DJ38" i="27"/>
  <c r="DP38" i="27" s="1"/>
  <c r="Y57" i="27"/>
  <c r="CM57" i="27"/>
  <c r="B57" i="27"/>
  <c r="DJ57" i="27"/>
  <c r="DP57" i="27" s="1"/>
  <c r="DJ32" i="27"/>
  <c r="DP32" i="27" s="1"/>
  <c r="CM32" i="27"/>
  <c r="B32" i="27"/>
  <c r="Y32" i="27"/>
  <c r="CW32" i="27"/>
  <c r="C32" i="27"/>
  <c r="CM49" i="27"/>
  <c r="DJ49" i="27"/>
  <c r="DP49" i="27" s="1"/>
  <c r="B49" i="27"/>
  <c r="C49" i="27" s="1"/>
  <c r="Y49" i="27"/>
  <c r="CW49" i="27"/>
  <c r="CW66" i="27"/>
  <c r="Y66" i="27"/>
  <c r="B66" i="27"/>
  <c r="C66" i="27"/>
  <c r="CX66" i="27"/>
  <c r="DH66" i="27"/>
  <c r="DJ66" i="27"/>
  <c r="DP66" i="27" s="1"/>
  <c r="DJ67" i="27"/>
  <c r="DP67" i="27" s="1"/>
  <c r="B67" i="27"/>
  <c r="Y67" i="27"/>
  <c r="C67" i="27"/>
  <c r="CW67" i="27"/>
  <c r="DH67" i="27"/>
  <c r="CX67" i="27"/>
  <c r="C80" i="27"/>
  <c r="Y80" i="27"/>
  <c r="B80" i="27"/>
  <c r="CW80" i="27"/>
  <c r="DJ80" i="27"/>
  <c r="DP80" i="27" s="1"/>
  <c r="DH80" i="27"/>
  <c r="CX80" i="27"/>
  <c r="C69" i="27"/>
  <c r="CX69" i="27"/>
  <c r="B69" i="27"/>
  <c r="Y69" i="27"/>
  <c r="CW69" i="27"/>
  <c r="DJ69" i="27"/>
  <c r="DP69" i="27" s="1"/>
  <c r="DH69" i="27"/>
  <c r="CM18" i="27"/>
  <c r="B18" i="27"/>
  <c r="DJ18" i="27"/>
  <c r="DP18" i="27" s="1"/>
  <c r="Y18" i="27"/>
  <c r="C18" i="27"/>
  <c r="CM31" i="27"/>
  <c r="DJ31" i="27"/>
  <c r="DP31" i="27" s="1"/>
  <c r="Y31" i="27"/>
  <c r="B31" i="27"/>
  <c r="C31" i="27" s="1"/>
  <c r="CM45" i="27"/>
  <c r="Y45" i="27"/>
  <c r="B45" i="27"/>
  <c r="CW45" i="27"/>
  <c r="DJ45" i="27"/>
  <c r="DP45" i="27" s="1"/>
  <c r="DH71" i="27"/>
  <c r="C71" i="27"/>
  <c r="CW71" i="27"/>
  <c r="B71" i="27"/>
  <c r="DJ71" i="27"/>
  <c r="DP71" i="27" s="1"/>
  <c r="Y71" i="27"/>
  <c r="CX71" i="27"/>
  <c r="Y23" i="27"/>
  <c r="B23" i="27"/>
  <c r="DJ23" i="27"/>
  <c r="DP23" i="27" s="1"/>
  <c r="CM23" i="27"/>
  <c r="C23" i="27"/>
  <c r="CM35" i="27"/>
  <c r="Y35" i="27"/>
  <c r="B35" i="27"/>
  <c r="CW35" i="27" s="1"/>
  <c r="DJ35" i="27"/>
  <c r="DP35" i="27" s="1"/>
  <c r="DJ55" i="27"/>
  <c r="DP55" i="27" s="1"/>
  <c r="B55" i="27"/>
  <c r="Y55" i="27"/>
  <c r="C55" i="27"/>
  <c r="CW55" i="27"/>
  <c r="CM55" i="27"/>
  <c r="CM54" i="27"/>
  <c r="Y54" i="27"/>
  <c r="B54" i="27"/>
  <c r="DJ54" i="27"/>
  <c r="DP54" i="27" s="1"/>
  <c r="CW54" i="27"/>
  <c r="DJ65" i="27"/>
  <c r="DP65" i="27" s="1"/>
  <c r="C65" i="27"/>
  <c r="DH65" i="27"/>
  <c r="B65" i="27"/>
  <c r="CX65" i="27"/>
  <c r="Y65" i="27"/>
  <c r="CW65" i="27"/>
  <c r="DJ50" i="27"/>
  <c r="DP50" i="27" s="1"/>
  <c r="CM50" i="27"/>
  <c r="B50" i="27"/>
  <c r="CW50" i="27"/>
  <c r="Y50" i="27"/>
  <c r="CM17" i="27"/>
  <c r="DJ17" i="27"/>
  <c r="DP17" i="27" s="1"/>
  <c r="Y17" i="27"/>
  <c r="B17" i="27"/>
  <c r="CW17" i="27" s="1"/>
  <c r="CM41" i="27"/>
  <c r="Y41" i="27"/>
  <c r="B41" i="27"/>
  <c r="DJ41" i="27"/>
  <c r="DP41" i="27" s="1"/>
  <c r="C41" i="27"/>
  <c r="Y53" i="27"/>
  <c r="B53" i="27"/>
  <c r="C53" i="27" s="1"/>
  <c r="CM53" i="27"/>
  <c r="DJ53" i="27"/>
  <c r="DP53" i="27" s="1"/>
  <c r="CW53" i="27"/>
  <c r="DJ72" i="27"/>
  <c r="DP72" i="27" s="1"/>
  <c r="B72" i="27"/>
  <c r="CX72" i="27"/>
  <c r="C72" i="27"/>
  <c r="DH72" i="27"/>
  <c r="CW72" i="27"/>
  <c r="Y72" i="27"/>
  <c r="CW73" i="27"/>
  <c r="Y73" i="27"/>
  <c r="B73" i="27"/>
  <c r="CX73" i="27"/>
  <c r="DH73" i="27"/>
  <c r="DJ73" i="27"/>
  <c r="DP73" i="27" s="1"/>
  <c r="C73" i="27"/>
  <c r="C81" i="27"/>
  <c r="Y81" i="27"/>
  <c r="CW81" i="27"/>
  <c r="DJ81" i="27"/>
  <c r="DP81" i="27" s="1"/>
  <c r="B81" i="27"/>
  <c r="CX81" i="27"/>
  <c r="DH81" i="27"/>
  <c r="CX70" i="27"/>
  <c r="C70" i="27"/>
  <c r="DH70" i="27"/>
  <c r="CW70" i="27"/>
  <c r="DJ70" i="27"/>
  <c r="DP70" i="27" s="1"/>
  <c r="Y70" i="27"/>
  <c r="B70" i="27"/>
  <c r="CM22" i="27"/>
  <c r="DJ22" i="27"/>
  <c r="DP22" i="27" s="1"/>
  <c r="B22" i="27"/>
  <c r="CW22" i="27" s="1"/>
  <c r="Y22" i="27"/>
  <c r="DJ36" i="27"/>
  <c r="DP36" i="27" s="1"/>
  <c r="Y36" i="27"/>
  <c r="CM36" i="27"/>
  <c r="B36" i="27"/>
  <c r="C36" i="27" s="1"/>
  <c r="CM47" i="27"/>
  <c r="Y47" i="27"/>
  <c r="DJ47" i="27"/>
  <c r="DP47" i="27" s="1"/>
  <c r="CW47" i="27"/>
  <c r="B47" i="27"/>
  <c r="C47" i="27" s="1"/>
  <c r="C76" i="27"/>
  <c r="CW76" i="27"/>
  <c r="DJ76" i="27"/>
  <c r="DP76" i="27" s="1"/>
  <c r="DH76" i="27"/>
  <c r="B76" i="27"/>
  <c r="Y76" i="27"/>
  <c r="CX76" i="27"/>
  <c r="Y27" i="27"/>
  <c r="B27" i="27"/>
  <c r="C27" i="27" s="1"/>
  <c r="DJ27" i="27"/>
  <c r="DP27" i="27" s="1"/>
  <c r="CM27" i="27"/>
  <c r="CW37" i="27"/>
  <c r="B37" i="27"/>
  <c r="DJ37" i="27"/>
  <c r="DP37" i="27" s="1"/>
  <c r="CM37" i="27"/>
  <c r="C37" i="27"/>
  <c r="Y37" i="27"/>
  <c r="DJ62" i="27"/>
  <c r="DP62" i="27" s="1"/>
  <c r="Y62" i="27"/>
  <c r="B62" i="27"/>
  <c r="CW62" i="27"/>
  <c r="C62" i="27"/>
  <c r="DH62" i="27"/>
  <c r="CX62" i="27"/>
  <c r="CW59" i="27"/>
  <c r="DH59" i="27"/>
  <c r="Y59" i="27"/>
  <c r="C59" i="27"/>
  <c r="DJ59" i="27"/>
  <c r="DP59" i="27" s="1"/>
  <c r="B59" i="27"/>
  <c r="CX59" i="27"/>
  <c r="CM20" i="27"/>
  <c r="Y20" i="27"/>
  <c r="DJ20" i="27"/>
  <c r="DP20" i="27" s="1"/>
  <c r="B20" i="27"/>
  <c r="C20" i="27" s="1"/>
  <c r="CM52" i="27"/>
  <c r="B52" i="27"/>
  <c r="DJ52" i="27"/>
  <c r="DP52" i="27" s="1"/>
  <c r="C52" i="27"/>
  <c r="Y52" i="27"/>
  <c r="CW52" i="27"/>
  <c r="B24" i="27"/>
  <c r="Y24" i="27"/>
  <c r="CM24" i="27"/>
  <c r="CW24" i="27"/>
  <c r="DJ24" i="27"/>
  <c r="DP24" i="27" s="1"/>
  <c r="C24" i="27"/>
  <c r="CM43" i="27"/>
  <c r="DJ43" i="27"/>
  <c r="DP43" i="27" s="1"/>
  <c r="B43" i="27"/>
  <c r="Y43" i="27"/>
  <c r="DH58" i="27"/>
  <c r="B58" i="27"/>
  <c r="C58" i="27"/>
  <c r="Y58" i="27"/>
  <c r="DJ58" i="27"/>
  <c r="DP58" i="27" s="1"/>
  <c r="CX58" i="27"/>
  <c r="CW58" i="27"/>
  <c r="C74" i="27"/>
  <c r="B74" i="27"/>
  <c r="CW74" i="27"/>
  <c r="DH74" i="27"/>
  <c r="DJ74" i="27"/>
  <c r="DP74" i="27" s="1"/>
  <c r="CX74" i="27"/>
  <c r="Y74" i="27"/>
  <c r="DJ75" i="27"/>
  <c r="DP75" i="27" s="1"/>
  <c r="DH75" i="27"/>
  <c r="CW75" i="27"/>
  <c r="CX75" i="27"/>
  <c r="C75" i="27"/>
  <c r="Y75" i="27"/>
  <c r="B75" i="27"/>
  <c r="DH83" i="27"/>
  <c r="B83" i="27"/>
  <c r="CW83" i="27"/>
  <c r="C83" i="27"/>
  <c r="CX83" i="27"/>
  <c r="DJ83" i="27"/>
  <c r="DP83" i="27" s="1"/>
  <c r="DH84" i="27"/>
  <c r="DJ84" i="27"/>
  <c r="DP84" i="27" s="1"/>
  <c r="C84" i="27"/>
  <c r="B84" i="27"/>
  <c r="CW84" i="27"/>
  <c r="CX84" i="27"/>
  <c r="CM26" i="27"/>
  <c r="DJ26" i="27"/>
  <c r="DP26" i="27" s="1"/>
  <c r="Y26" i="27"/>
  <c r="B26" i="27"/>
  <c r="C26" i="27" s="1"/>
  <c r="DJ40" i="27"/>
  <c r="DP40" i="27" s="1"/>
  <c r="CM40" i="27"/>
  <c r="B40" i="27"/>
  <c r="CW40" i="27"/>
  <c r="C40" i="27"/>
  <c r="Y40" i="27"/>
  <c r="Y48" i="27"/>
  <c r="B48" i="27"/>
  <c r="DJ48" i="27"/>
  <c r="DP48" i="27" s="1"/>
  <c r="CM48" i="27"/>
  <c r="C48" i="27"/>
  <c r="CW48" i="27"/>
  <c r="DJ77" i="27"/>
  <c r="DP77" i="27" s="1"/>
  <c r="DH77" i="27"/>
  <c r="CX77" i="27"/>
  <c r="Y77" i="27"/>
  <c r="B77" i="27"/>
  <c r="C77" i="27"/>
  <c r="CW77" i="27"/>
  <c r="CM21" i="27"/>
  <c r="DJ21" i="27"/>
  <c r="DP21" i="27" s="1"/>
  <c r="B21" i="27"/>
  <c r="C21" i="27" s="1"/>
  <c r="Y21" i="27"/>
  <c r="CW21" i="27"/>
  <c r="Y29" i="27"/>
  <c r="B29" i="27"/>
  <c r="DJ29" i="27"/>
  <c r="DP29" i="27" s="1"/>
  <c r="CM29" i="27"/>
  <c r="DJ42" i="27"/>
  <c r="DP42" i="27" s="1"/>
  <c r="CM42" i="27"/>
  <c r="B42" i="27"/>
  <c r="CW42" i="27"/>
  <c r="C42" i="27"/>
  <c r="Y42" i="27"/>
  <c r="Y19" i="27"/>
  <c r="CM19" i="27"/>
  <c r="DJ19" i="27"/>
  <c r="DP19" i="27" s="1"/>
  <c r="B19" i="27"/>
  <c r="C19" i="27"/>
  <c r="C60" i="27"/>
  <c r="CW60" i="27"/>
  <c r="DJ60" i="27"/>
  <c r="DP60" i="27" s="1"/>
  <c r="Y60" i="27"/>
  <c r="CX60" i="27"/>
  <c r="B60" i="27"/>
  <c r="DH60" i="27"/>
  <c r="DJ33" i="27"/>
  <c r="DP33" i="27" s="1"/>
  <c r="CM33" i="27"/>
  <c r="B33" i="27"/>
  <c r="CW33" i="27" s="1"/>
  <c r="Y33" i="27"/>
  <c r="DJ56" i="27"/>
  <c r="DP56" i="27" s="1"/>
  <c r="B56" i="27"/>
  <c r="CM56" i="27"/>
  <c r="Y56" i="27"/>
  <c r="C56" i="27"/>
  <c r="CW56" i="27"/>
  <c r="Y28" i="27"/>
  <c r="DJ28" i="27"/>
  <c r="DP28" i="27" s="1"/>
  <c r="B28" i="27"/>
  <c r="CM28" i="27"/>
  <c r="C28" i="27"/>
  <c r="CW28" i="27"/>
  <c r="CM46" i="27"/>
  <c r="DJ46" i="27"/>
  <c r="DP46" i="27" s="1"/>
  <c r="B46" i="27"/>
  <c r="C46" i="27" s="1"/>
  <c r="CW46" i="27"/>
  <c r="Y46" i="27"/>
  <c r="C63" i="27"/>
  <c r="DH63" i="27"/>
  <c r="CW63" i="27"/>
  <c r="DJ63" i="27"/>
  <c r="DP63" i="27" s="1"/>
  <c r="Y63" i="27"/>
  <c r="CX63" i="27"/>
  <c r="B63" i="27"/>
  <c r="C78" i="27"/>
  <c r="B78" i="27"/>
  <c r="DJ78" i="27"/>
  <c r="DP78" i="27" s="1"/>
  <c r="CX78" i="27"/>
  <c r="DH78" i="27"/>
  <c r="Y78" i="27"/>
  <c r="CW78" i="27"/>
  <c r="DJ79" i="27"/>
  <c r="DP79" i="27" s="1"/>
  <c r="C79" i="27"/>
  <c r="CX79" i="27"/>
  <c r="Y79" i="27"/>
  <c r="B79" i="27"/>
  <c r="DH79" i="27"/>
  <c r="CW79" i="27"/>
  <c r="DJ68" i="27"/>
  <c r="DP68" i="27" s="1"/>
  <c r="Y68" i="27"/>
  <c r="B68" i="27"/>
  <c r="CW68" i="27"/>
  <c r="CX68" i="27"/>
  <c r="DH68" i="27"/>
  <c r="C68" i="27"/>
  <c r="CM16" i="27"/>
  <c r="Y16" i="27"/>
  <c r="DJ16" i="27"/>
  <c r="DP16" i="27" s="1"/>
  <c r="B16" i="27"/>
  <c r="E124" i="27"/>
  <c r="CW16" i="27"/>
  <c r="C16" i="27"/>
  <c r="CM30" i="27"/>
  <c r="Y30" i="27"/>
  <c r="DJ30" i="27"/>
  <c r="DP30" i="27" s="1"/>
  <c r="B30" i="27"/>
  <c r="DJ44" i="27"/>
  <c r="DP44" i="27" s="1"/>
  <c r="CM44" i="27"/>
  <c r="Y44" i="27"/>
  <c r="B44" i="27"/>
  <c r="C44" i="27"/>
  <c r="DH64" i="27"/>
  <c r="Y64" i="27"/>
  <c r="CW64" i="27"/>
  <c r="C64" i="27"/>
  <c r="B64" i="27"/>
  <c r="DJ64" i="27"/>
  <c r="DP64" i="27" s="1"/>
  <c r="CX64" i="27"/>
  <c r="DH82" i="27"/>
  <c r="B82" i="27"/>
  <c r="DJ82" i="27"/>
  <c r="DP82" i="27" s="1"/>
  <c r="C82" i="27"/>
  <c r="CW82" i="27"/>
  <c r="CX82" i="27"/>
  <c r="DI33" i="27" l="1"/>
  <c r="DE33" i="27"/>
  <c r="DI17" i="27"/>
  <c r="DE17" i="27"/>
  <c r="DE35" i="27"/>
  <c r="DI35" i="27"/>
  <c r="DI51" i="27"/>
  <c r="DE51" i="27"/>
  <c r="DF51" i="27"/>
  <c r="DI22" i="27"/>
  <c r="DE22" i="27"/>
  <c r="CY64" i="27"/>
  <c r="DC64" i="27"/>
  <c r="DF64" i="27"/>
  <c r="D64" i="27"/>
  <c r="CL64" i="27" s="1"/>
  <c r="DE64" i="27"/>
  <c r="DI64" i="27"/>
  <c r="CE44" i="27"/>
  <c r="V44" i="27"/>
  <c r="W44" i="27"/>
  <c r="AL44" i="27"/>
  <c r="DG44" i="27"/>
  <c r="S44" i="27"/>
  <c r="CY68" i="27"/>
  <c r="DC68" i="27"/>
  <c r="DI78" i="27"/>
  <c r="DF78" i="27"/>
  <c r="D78" i="27"/>
  <c r="CL78" i="27" s="1"/>
  <c r="DE78" i="27"/>
  <c r="DC63" i="27"/>
  <c r="CY63" i="27"/>
  <c r="DE46" i="27"/>
  <c r="DI46" i="27"/>
  <c r="Q46" i="27"/>
  <c r="CX46" i="27" s="1"/>
  <c r="CK46" i="27"/>
  <c r="CK28" i="27"/>
  <c r="Q28" i="27"/>
  <c r="CX28" i="27" s="1"/>
  <c r="CK56" i="27"/>
  <c r="Q56" i="27"/>
  <c r="CX56" i="27" s="1"/>
  <c r="C33" i="27"/>
  <c r="CK33" i="27"/>
  <c r="Q33" i="27"/>
  <c r="CX33" i="27" s="1"/>
  <c r="DC60" i="27"/>
  <c r="CY60" i="27"/>
  <c r="CE19" i="27"/>
  <c r="V19" i="27"/>
  <c r="W19" i="27"/>
  <c r="AL19" i="27"/>
  <c r="S19" i="27"/>
  <c r="DG19" i="27"/>
  <c r="DE42" i="27"/>
  <c r="DI42" i="27"/>
  <c r="CW29" i="27"/>
  <c r="CE29" i="27"/>
  <c r="AL29" i="27"/>
  <c r="V29" i="27"/>
  <c r="W29" i="27"/>
  <c r="S29" i="27"/>
  <c r="DG29" i="27"/>
  <c r="S77" i="27"/>
  <c r="R77" i="27"/>
  <c r="DG77" i="27"/>
  <c r="A77" i="27"/>
  <c r="Q48" i="27"/>
  <c r="CX48" i="27" s="1"/>
  <c r="CK48" i="27"/>
  <c r="DI40" i="27"/>
  <c r="DE40" i="27"/>
  <c r="DE84" i="27"/>
  <c r="D84" i="27"/>
  <c r="CL84" i="27" s="1"/>
  <c r="DI84" i="27"/>
  <c r="DF84" i="27"/>
  <c r="DI83" i="27"/>
  <c r="D83" i="27"/>
  <c r="DF83" i="27"/>
  <c r="DE83" i="27"/>
  <c r="CW43" i="27"/>
  <c r="DG43" i="27"/>
  <c r="W43" i="27"/>
  <c r="CE43" i="27"/>
  <c r="S43" i="27"/>
  <c r="V43" i="27"/>
  <c r="AL43" i="27"/>
  <c r="DF59" i="27"/>
  <c r="DI59" i="27"/>
  <c r="DE59" i="27"/>
  <c r="D59" i="27"/>
  <c r="CL59" i="27" s="1"/>
  <c r="DF62" i="27"/>
  <c r="D62" i="27"/>
  <c r="CL62" i="27" s="1"/>
  <c r="DE62" i="27"/>
  <c r="DI62" i="27"/>
  <c r="Q36" i="27"/>
  <c r="CK36" i="27"/>
  <c r="DC70" i="27"/>
  <c r="CY70" i="27"/>
  <c r="DG73" i="27"/>
  <c r="A73" i="27"/>
  <c r="S73" i="27"/>
  <c r="R73" i="27"/>
  <c r="D72" i="27"/>
  <c r="CL72" i="27" s="1"/>
  <c r="DI72" i="27"/>
  <c r="DF72" i="27"/>
  <c r="DE72" i="27"/>
  <c r="DG72" i="27"/>
  <c r="S72" i="27"/>
  <c r="R72" i="27"/>
  <c r="A72" i="27"/>
  <c r="C17" i="27"/>
  <c r="CE50" i="27"/>
  <c r="S50" i="27"/>
  <c r="AL50" i="27"/>
  <c r="W50" i="27"/>
  <c r="V50" i="27"/>
  <c r="DG50" i="27"/>
  <c r="CK54" i="27"/>
  <c r="Q54" i="27"/>
  <c r="CX54" i="27" s="1"/>
  <c r="C35" i="27"/>
  <c r="DG23" i="27"/>
  <c r="W23" i="27"/>
  <c r="S23" i="27"/>
  <c r="AL23" i="27"/>
  <c r="CE23" i="27"/>
  <c r="V23" i="27"/>
  <c r="DI45" i="27"/>
  <c r="DE45" i="27"/>
  <c r="CE18" i="27"/>
  <c r="V18" i="27"/>
  <c r="DG18" i="27"/>
  <c r="AL18" i="27"/>
  <c r="W18" i="27"/>
  <c r="S18" i="27"/>
  <c r="DF69" i="27"/>
  <c r="D69" i="27"/>
  <c r="CL69" i="27" s="1"/>
  <c r="DI69" i="27"/>
  <c r="DE69" i="27"/>
  <c r="DF80" i="27"/>
  <c r="D80" i="27"/>
  <c r="CL80" i="27" s="1"/>
  <c r="DI80" i="27"/>
  <c r="DE80" i="27"/>
  <c r="CY67" i="27"/>
  <c r="DC67" i="27"/>
  <c r="DI32" i="27"/>
  <c r="DE32" i="27"/>
  <c r="CW57" i="27"/>
  <c r="AL57" i="27"/>
  <c r="S57" i="27"/>
  <c r="DG57" i="27"/>
  <c r="CY61" i="27"/>
  <c r="DC61" i="27"/>
  <c r="V39" i="27"/>
  <c r="AL39" i="27"/>
  <c r="S39" i="27"/>
  <c r="DG39" i="27"/>
  <c r="CE39" i="27"/>
  <c r="W39" i="27"/>
  <c r="CK51" i="27"/>
  <c r="Q51" i="27"/>
  <c r="CX51" i="27" s="1"/>
  <c r="CK44" i="27"/>
  <c r="Q44" i="27"/>
  <c r="CX44" i="27" s="1"/>
  <c r="CK30" i="27"/>
  <c r="Q30" i="27"/>
  <c r="CX30" i="27" s="1"/>
  <c r="CY82" i="27"/>
  <c r="DC82" i="27"/>
  <c r="DG82" i="27"/>
  <c r="A82" i="27"/>
  <c r="R82" i="27"/>
  <c r="S82" i="27"/>
  <c r="S64" i="27"/>
  <c r="R64" i="27"/>
  <c r="DG64" i="27"/>
  <c r="A64" i="27"/>
  <c r="CK16" i="27"/>
  <c r="Q16" i="27"/>
  <c r="DF68" i="27"/>
  <c r="DI68" i="27"/>
  <c r="DE68" i="27"/>
  <c r="D68" i="27"/>
  <c r="CL68" i="27" s="1"/>
  <c r="DI79" i="27"/>
  <c r="DF79" i="27"/>
  <c r="DE79" i="27"/>
  <c r="D79" i="27"/>
  <c r="CL79" i="27" s="1"/>
  <c r="DC79" i="27"/>
  <c r="CY79" i="27"/>
  <c r="A78" i="27"/>
  <c r="DG78" i="27"/>
  <c r="S78" i="27"/>
  <c r="R78" i="27"/>
  <c r="S28" i="27"/>
  <c r="V28" i="27"/>
  <c r="CE28" i="27"/>
  <c r="DG28" i="27"/>
  <c r="AL28" i="27"/>
  <c r="W28" i="27"/>
  <c r="DE56" i="27"/>
  <c r="DF56" i="27"/>
  <c r="DI56" i="27"/>
  <c r="S56" i="27"/>
  <c r="DG56" i="27"/>
  <c r="AL56" i="27"/>
  <c r="W56" i="27"/>
  <c r="V56" i="27"/>
  <c r="V42" i="27"/>
  <c r="CE42" i="27"/>
  <c r="S42" i="27"/>
  <c r="AL42" i="27"/>
  <c r="W42" i="27"/>
  <c r="DG42" i="27"/>
  <c r="C29" i="27"/>
  <c r="CK21" i="27"/>
  <c r="Q21" i="27"/>
  <c r="CX21" i="27" s="1"/>
  <c r="V40" i="27"/>
  <c r="DG40" i="27"/>
  <c r="AL40" i="27"/>
  <c r="CE40" i="27"/>
  <c r="S40" i="27"/>
  <c r="W40" i="27"/>
  <c r="CW26" i="27"/>
  <c r="R84" i="27"/>
  <c r="DG84" i="27"/>
  <c r="S84" i="27"/>
  <c r="A84" i="27"/>
  <c r="S83" i="27"/>
  <c r="R83" i="27"/>
  <c r="DG83" i="27"/>
  <c r="A83" i="27"/>
  <c r="DE58" i="27"/>
  <c r="D58" i="27"/>
  <c r="CL58" i="27" s="1"/>
  <c r="DF58" i="27"/>
  <c r="DI58" i="27"/>
  <c r="DG24" i="27"/>
  <c r="V24" i="27"/>
  <c r="W24" i="27"/>
  <c r="CE24" i="27"/>
  <c r="AL24" i="27"/>
  <c r="S24" i="27"/>
  <c r="Q20" i="27"/>
  <c r="CX20" i="27" s="1"/>
  <c r="CK20" i="27"/>
  <c r="DC62" i="27"/>
  <c r="CY62" i="27"/>
  <c r="S62" i="27"/>
  <c r="DG62" i="27"/>
  <c r="A62" i="27"/>
  <c r="R62" i="27"/>
  <c r="V37" i="27"/>
  <c r="S37" i="27"/>
  <c r="AL37" i="27"/>
  <c r="CE37" i="27"/>
  <c r="W37" i="27"/>
  <c r="DG37" i="27"/>
  <c r="CM127" i="27"/>
  <c r="CM124" i="27" s="1"/>
  <c r="Q27" i="27"/>
  <c r="CX27" i="27" s="1"/>
  <c r="CK27" i="27"/>
  <c r="DC76" i="27"/>
  <c r="CY76" i="27"/>
  <c r="C22" i="27"/>
  <c r="CK22" i="27"/>
  <c r="Q22" i="27"/>
  <c r="CX22" i="27" s="1"/>
  <c r="DI70" i="27"/>
  <c r="DE70" i="27"/>
  <c r="D70" i="27"/>
  <c r="CL70" i="27" s="1"/>
  <c r="DF70" i="27"/>
  <c r="DF81" i="27"/>
  <c r="D81" i="27"/>
  <c r="CL81" i="27" s="1"/>
  <c r="DI81" i="27"/>
  <c r="DE81" i="27"/>
  <c r="AL41" i="27"/>
  <c r="DG41" i="27"/>
  <c r="S41" i="27"/>
  <c r="V41" i="27"/>
  <c r="CE41" i="27"/>
  <c r="W41" i="27"/>
  <c r="CK50" i="27"/>
  <c r="Q50" i="27"/>
  <c r="CX50" i="27" s="1"/>
  <c r="CY65" i="27"/>
  <c r="DC65" i="27"/>
  <c r="C54" i="27"/>
  <c r="W54" i="27"/>
  <c r="V54" i="27"/>
  <c r="S54" i="27"/>
  <c r="AL54" i="27"/>
  <c r="DG54" i="27"/>
  <c r="CW23" i="27"/>
  <c r="A71" i="27"/>
  <c r="DG71" i="27"/>
  <c r="R71" i="27"/>
  <c r="S71" i="27"/>
  <c r="DG45" i="27"/>
  <c r="CE45" i="27"/>
  <c r="V45" i="27"/>
  <c r="AL45" i="27"/>
  <c r="W45" i="27"/>
  <c r="S45" i="27"/>
  <c r="CW31" i="27"/>
  <c r="CW18" i="27"/>
  <c r="CK18" i="27"/>
  <c r="Q18" i="27"/>
  <c r="CX18" i="27" s="1"/>
  <c r="DC80" i="27"/>
  <c r="CY80" i="27"/>
  <c r="S80" i="27"/>
  <c r="DG80" i="27"/>
  <c r="R80" i="27"/>
  <c r="A80" i="27"/>
  <c r="S67" i="27"/>
  <c r="R67" i="27"/>
  <c r="DG67" i="27"/>
  <c r="A67" i="27"/>
  <c r="DC66" i="27"/>
  <c r="CY66" i="27"/>
  <c r="DI66" i="27"/>
  <c r="DE66" i="27"/>
  <c r="DF66" i="27"/>
  <c r="D66" i="27"/>
  <c r="CL66" i="27" s="1"/>
  <c r="Q49" i="27"/>
  <c r="CX49" i="27" s="1"/>
  <c r="CK49" i="27"/>
  <c r="CK38" i="27"/>
  <c r="Q38" i="27"/>
  <c r="CX38" i="27" s="1"/>
  <c r="DI39" i="27"/>
  <c r="DE39" i="27"/>
  <c r="CE51" i="27"/>
  <c r="W51" i="27"/>
  <c r="AL51" i="27"/>
  <c r="V51" i="27"/>
  <c r="S51" i="27"/>
  <c r="DG51" i="27"/>
  <c r="CE34" i="27"/>
  <c r="DG34" i="27"/>
  <c r="W34" i="27"/>
  <c r="V34" i="27"/>
  <c r="AL34" i="27"/>
  <c r="S34" i="27"/>
  <c r="C30" i="27"/>
  <c r="DG30" i="27"/>
  <c r="V30" i="27"/>
  <c r="W30" i="27"/>
  <c r="CE30" i="27"/>
  <c r="S30" i="27"/>
  <c r="AL30" i="27"/>
  <c r="DF82" i="27"/>
  <c r="D82" i="27"/>
  <c r="CL82" i="27" s="1"/>
  <c r="DI82" i="27"/>
  <c r="DE82" i="27"/>
  <c r="CW44" i="27"/>
  <c r="CW30" i="27"/>
  <c r="AL16" i="27"/>
  <c r="V16" i="27"/>
  <c r="W16" i="27"/>
  <c r="DG16" i="27"/>
  <c r="S16" i="27"/>
  <c r="CE16" i="27"/>
  <c r="DG68" i="27"/>
  <c r="A68" i="27"/>
  <c r="S68" i="27"/>
  <c r="R68" i="27"/>
  <c r="CE46" i="27"/>
  <c r="AL46" i="27"/>
  <c r="DG46" i="27"/>
  <c r="V46" i="27"/>
  <c r="W46" i="27"/>
  <c r="S46" i="27"/>
  <c r="DF28" i="27"/>
  <c r="DI28" i="27"/>
  <c r="DE28" i="27"/>
  <c r="CW19" i="27"/>
  <c r="CM12" i="27"/>
  <c r="CK19" i="27"/>
  <c r="Q19" i="27"/>
  <c r="CX19" i="27" s="1"/>
  <c r="Q42" i="27"/>
  <c r="CX42" i="27" s="1"/>
  <c r="CK42" i="27"/>
  <c r="CK29" i="27"/>
  <c r="Q29" i="27"/>
  <c r="CX29" i="27" s="1"/>
  <c r="DE77" i="27"/>
  <c r="D77" i="27"/>
  <c r="CL77" i="27" s="1"/>
  <c r="DI77" i="27"/>
  <c r="DF77" i="27"/>
  <c r="DC77" i="27"/>
  <c r="CY77" i="27"/>
  <c r="DI48" i="27"/>
  <c r="DE48" i="27"/>
  <c r="DF48" i="27"/>
  <c r="AL48" i="27"/>
  <c r="DG48" i="27"/>
  <c r="W48" i="27"/>
  <c r="CE48" i="27"/>
  <c r="V48" i="27"/>
  <c r="S48" i="27"/>
  <c r="Q40" i="27"/>
  <c r="CX40" i="27" s="1"/>
  <c r="CK40" i="27"/>
  <c r="AL26" i="27"/>
  <c r="V26" i="27"/>
  <c r="S26" i="27"/>
  <c r="DG26" i="27"/>
  <c r="W26" i="27"/>
  <c r="CE26" i="27"/>
  <c r="CK26" i="27"/>
  <c r="Q26" i="27"/>
  <c r="CX26" i="27" s="1"/>
  <c r="DC83" i="27"/>
  <c r="CY83" i="27"/>
  <c r="DC75" i="27"/>
  <c r="CY75" i="27"/>
  <c r="DI74" i="27"/>
  <c r="DE74" i="27"/>
  <c r="DF74" i="27"/>
  <c r="D74" i="27"/>
  <c r="CL74" i="27" s="1"/>
  <c r="CY58" i="27"/>
  <c r="DC58" i="27"/>
  <c r="DG58" i="27"/>
  <c r="A58" i="27"/>
  <c r="S58" i="27"/>
  <c r="C43" i="27"/>
  <c r="Q43" i="27"/>
  <c r="CX43" i="27" s="1"/>
  <c r="CK43" i="27"/>
  <c r="DE24" i="27"/>
  <c r="DI24" i="27"/>
  <c r="DI52" i="27"/>
  <c r="DE52" i="27"/>
  <c r="S52" i="27"/>
  <c r="DG52" i="27"/>
  <c r="AL52" i="27"/>
  <c r="V52" i="27"/>
  <c r="W52" i="27"/>
  <c r="CW20" i="27"/>
  <c r="V20" i="27"/>
  <c r="W20" i="27"/>
  <c r="DG20" i="27"/>
  <c r="CE20" i="27"/>
  <c r="S20" i="27"/>
  <c r="AL20" i="27"/>
  <c r="CY59" i="27"/>
  <c r="DC59" i="27"/>
  <c r="DI37" i="27"/>
  <c r="DE37" i="27"/>
  <c r="DF37" i="27"/>
  <c r="DF76" i="27"/>
  <c r="D76" i="27"/>
  <c r="CL76" i="27" s="1"/>
  <c r="DI76" i="27"/>
  <c r="DE76" i="27"/>
  <c r="V47" i="27"/>
  <c r="W47" i="27"/>
  <c r="CE47" i="27"/>
  <c r="AL47" i="27"/>
  <c r="DG47" i="27"/>
  <c r="S47" i="27"/>
  <c r="CK47" i="27"/>
  <c r="Q47" i="27"/>
  <c r="CX47" i="27" s="1"/>
  <c r="CW36" i="27"/>
  <c r="W36" i="27"/>
  <c r="S36" i="27"/>
  <c r="DG36" i="27"/>
  <c r="AL36" i="27"/>
  <c r="CE36" i="27"/>
  <c r="V36" i="27"/>
  <c r="R70" i="27"/>
  <c r="DG70" i="27"/>
  <c r="A70" i="27"/>
  <c r="S70" i="27"/>
  <c r="DC81" i="27"/>
  <c r="CY81" i="27"/>
  <c r="D73" i="27"/>
  <c r="CL73" i="27" s="1"/>
  <c r="DF73" i="27"/>
  <c r="DE73" i="27"/>
  <c r="DI73" i="27"/>
  <c r="CK53" i="27"/>
  <c r="Q53" i="27"/>
  <c r="CX53" i="27" s="1"/>
  <c r="CW41" i="27"/>
  <c r="C50" i="27"/>
  <c r="DG65" i="27"/>
  <c r="R65" i="27"/>
  <c r="S65" i="27"/>
  <c r="A65" i="27"/>
  <c r="Q55" i="27"/>
  <c r="CX55" i="27" s="1"/>
  <c r="CK55" i="27"/>
  <c r="DG55" i="27"/>
  <c r="S55" i="27"/>
  <c r="W55" i="27"/>
  <c r="AL55" i="27"/>
  <c r="V55" i="27"/>
  <c r="CK35" i="27"/>
  <c r="Q35" i="27"/>
  <c r="CX35" i="27" s="1"/>
  <c r="Q23" i="27"/>
  <c r="CX23" i="27" s="1"/>
  <c r="CK23" i="27"/>
  <c r="CY71" i="27"/>
  <c r="DC71" i="27"/>
  <c r="DE71" i="27"/>
  <c r="DF71" i="27"/>
  <c r="D71" i="27"/>
  <c r="CL71" i="27" s="1"/>
  <c r="DI71" i="27"/>
  <c r="C45" i="27"/>
  <c r="Q31" i="27"/>
  <c r="CX31" i="27" s="1"/>
  <c r="CK31" i="27"/>
  <c r="DG69" i="27"/>
  <c r="R69" i="27"/>
  <c r="A69" i="27"/>
  <c r="S69" i="27"/>
  <c r="DI67" i="27"/>
  <c r="DE67" i="27"/>
  <c r="DF67" i="27"/>
  <c r="D67" i="27"/>
  <c r="CL67" i="27" s="1"/>
  <c r="AL32" i="27"/>
  <c r="CE32" i="27"/>
  <c r="W32" i="27"/>
  <c r="DG32" i="27"/>
  <c r="S32" i="27"/>
  <c r="V32" i="27"/>
  <c r="C57" i="27"/>
  <c r="CK57" i="27"/>
  <c r="Q57" i="27"/>
  <c r="CX57" i="27" s="1"/>
  <c r="DE61" i="27"/>
  <c r="D61" i="27"/>
  <c r="CL61" i="27" s="1"/>
  <c r="DF61" i="27"/>
  <c r="DI61" i="27"/>
  <c r="C34" i="27"/>
  <c r="Q34" i="27"/>
  <c r="CX34" i="27" s="1"/>
  <c r="CK34" i="27"/>
  <c r="Q25" i="27"/>
  <c r="CX25" i="27" s="1"/>
  <c r="CK25" i="27"/>
  <c r="DE16" i="27"/>
  <c r="DI16" i="27"/>
  <c r="DG79" i="27"/>
  <c r="A79" i="27"/>
  <c r="S79" i="27"/>
  <c r="R79" i="27"/>
  <c r="DC78" i="27"/>
  <c r="CY78" i="27"/>
  <c r="S63" i="27"/>
  <c r="DG63" i="27"/>
  <c r="R63" i="27"/>
  <c r="A63" i="27"/>
  <c r="D63" i="27"/>
  <c r="CL63" i="27" s="1"/>
  <c r="DI63" i="27"/>
  <c r="DE63" i="27"/>
  <c r="DF63" i="27"/>
  <c r="V33" i="27"/>
  <c r="S33" i="27"/>
  <c r="CE33" i="27"/>
  <c r="AL33" i="27"/>
  <c r="W33" i="27"/>
  <c r="DG33" i="27"/>
  <c r="S60" i="27"/>
  <c r="A60" i="27"/>
  <c r="DG60" i="27"/>
  <c r="R60" i="27"/>
  <c r="DF60" i="27"/>
  <c r="DI60" i="27"/>
  <c r="DE60" i="27"/>
  <c r="D60" i="27"/>
  <c r="CL60" i="27" s="1"/>
  <c r="DE21" i="27"/>
  <c r="DF21" i="27"/>
  <c r="DI21" i="27"/>
  <c r="V21" i="27"/>
  <c r="S21" i="27"/>
  <c r="AL21" i="27"/>
  <c r="W21" i="27"/>
  <c r="CE21" i="27"/>
  <c r="DG21" i="27"/>
  <c r="CY84" i="27"/>
  <c r="DC84" i="27"/>
  <c r="CL83" i="27"/>
  <c r="R75" i="27"/>
  <c r="DG75" i="27"/>
  <c r="A75" i="27"/>
  <c r="S75" i="27"/>
  <c r="DI75" i="27"/>
  <c r="DF75" i="27"/>
  <c r="DE75" i="27"/>
  <c r="D75" i="27"/>
  <c r="CL75" i="27" s="1"/>
  <c r="CY74" i="27"/>
  <c r="DC74" i="27"/>
  <c r="A74" i="27"/>
  <c r="S74" i="27"/>
  <c r="DG74" i="27"/>
  <c r="R74" i="27"/>
  <c r="CK24" i="27"/>
  <c r="Q24" i="27"/>
  <c r="CX24" i="27" s="1"/>
  <c r="CK52" i="27"/>
  <c r="Q52" i="27"/>
  <c r="CX52" i="27" s="1"/>
  <c r="DG59" i="27"/>
  <c r="S59" i="27"/>
  <c r="A59" i="27"/>
  <c r="CK37" i="27"/>
  <c r="Q37" i="27"/>
  <c r="CX37" i="27" s="1"/>
  <c r="CW27" i="27"/>
  <c r="S27" i="27"/>
  <c r="V27" i="27"/>
  <c r="DG27" i="27"/>
  <c r="AL27" i="27"/>
  <c r="CE27" i="27"/>
  <c r="W27" i="27"/>
  <c r="S76" i="27"/>
  <c r="R76" i="27"/>
  <c r="A76" i="27"/>
  <c r="DG76" i="27"/>
  <c r="DI47" i="27"/>
  <c r="DE47" i="27"/>
  <c r="DF47" i="27"/>
  <c r="S22" i="27"/>
  <c r="CE22" i="27"/>
  <c r="V22" i="27"/>
  <c r="DG22" i="27"/>
  <c r="AL22" i="27"/>
  <c r="W22" i="27"/>
  <c r="DG81" i="27"/>
  <c r="R81" i="27"/>
  <c r="A81" i="27"/>
  <c r="S81" i="27"/>
  <c r="CY73" i="27"/>
  <c r="DC73" i="27"/>
  <c r="DC72" i="27"/>
  <c r="CY72" i="27"/>
  <c r="DF53" i="27"/>
  <c r="DI53" i="27"/>
  <c r="DE53" i="27"/>
  <c r="S53" i="27"/>
  <c r="AL53" i="27"/>
  <c r="W53" i="27"/>
  <c r="DG53" i="27"/>
  <c r="V53" i="27"/>
  <c r="Q41" i="27"/>
  <c r="CX41" i="27" s="1"/>
  <c r="CK41" i="27"/>
  <c r="AL17" i="27"/>
  <c r="S17" i="27"/>
  <c r="CE17" i="27"/>
  <c r="DG17" i="27"/>
  <c r="V17" i="27"/>
  <c r="W17" i="27"/>
  <c r="Q17" i="27"/>
  <c r="CX17" i="27" s="1"/>
  <c r="DF17" i="27" s="1"/>
  <c r="CK17" i="27"/>
  <c r="DE50" i="27"/>
  <c r="DI50" i="27"/>
  <c r="DF50" i="27"/>
  <c r="DF65" i="27"/>
  <c r="DE65" i="27"/>
  <c r="D65" i="27"/>
  <c r="CL65" i="27" s="1"/>
  <c r="DI65" i="27"/>
  <c r="DF54" i="27"/>
  <c r="DI54" i="27"/>
  <c r="DE54" i="27"/>
  <c r="DI55" i="27"/>
  <c r="DE55" i="27"/>
  <c r="DF55" i="27"/>
  <c r="AL35" i="27"/>
  <c r="V35" i="27"/>
  <c r="W35" i="27"/>
  <c r="S35" i="27"/>
  <c r="CE35" i="27"/>
  <c r="DG35" i="27"/>
  <c r="CK45" i="27"/>
  <c r="Q45" i="27"/>
  <c r="CX45" i="27" s="1"/>
  <c r="CE31" i="27"/>
  <c r="DG31" i="27"/>
  <c r="W31" i="27"/>
  <c r="S31" i="27"/>
  <c r="AL31" i="27"/>
  <c r="V31" i="27"/>
  <c r="DC69" i="27"/>
  <c r="CY69" i="27"/>
  <c r="DG66" i="27"/>
  <c r="A66" i="27"/>
  <c r="R66" i="27"/>
  <c r="S66" i="27"/>
  <c r="DI49" i="27"/>
  <c r="DF49" i="27"/>
  <c r="DE49" i="27"/>
  <c r="V49" i="27"/>
  <c r="CE49" i="27"/>
  <c r="AL49" i="27"/>
  <c r="W49" i="27"/>
  <c r="S49" i="27"/>
  <c r="DG49" i="27"/>
  <c r="Q32" i="27"/>
  <c r="CX32" i="27" s="1"/>
  <c r="DF32" i="27" s="1"/>
  <c r="CK32" i="27"/>
  <c r="CW38" i="27"/>
  <c r="AL38" i="27"/>
  <c r="CE38" i="27"/>
  <c r="S38" i="27"/>
  <c r="DG38" i="27"/>
  <c r="V38" i="27"/>
  <c r="W38" i="27"/>
  <c r="S61" i="27"/>
  <c r="DG61" i="27"/>
  <c r="R61" i="27"/>
  <c r="A61" i="27"/>
  <c r="Q39" i="27"/>
  <c r="CX39" i="27" s="1"/>
  <c r="CK39" i="27"/>
  <c r="DI34" i="27"/>
  <c r="DE34" i="27"/>
  <c r="DI25" i="27"/>
  <c r="DF25" i="27"/>
  <c r="DE25" i="27"/>
  <c r="DG25" i="27"/>
  <c r="AL25" i="27"/>
  <c r="CE25" i="27"/>
  <c r="W25" i="27"/>
  <c r="V25" i="27"/>
  <c r="S25" i="27"/>
  <c r="DL34" i="27" l="1"/>
  <c r="DK34" i="27"/>
  <c r="DF39" i="27"/>
  <c r="DC39" i="27"/>
  <c r="CY39" i="27"/>
  <c r="D39" i="27" s="1"/>
  <c r="CL39" i="27" s="1"/>
  <c r="DE38" i="27"/>
  <c r="DI38" i="27"/>
  <c r="DF38" i="27"/>
  <c r="DK54" i="27"/>
  <c r="DL54" i="27"/>
  <c r="DK50" i="27"/>
  <c r="DL50" i="27"/>
  <c r="DL53" i="27"/>
  <c r="DK53" i="27"/>
  <c r="DL75" i="27"/>
  <c r="DK75" i="27"/>
  <c r="DL21" i="27"/>
  <c r="DK21" i="27"/>
  <c r="BO32" i="27"/>
  <c r="BE32" i="27"/>
  <c r="AO32" i="27"/>
  <c r="BC32" i="27"/>
  <c r="AM32" i="27"/>
  <c r="BR32" i="27"/>
  <c r="BP32" i="27"/>
  <c r="AN32" i="27"/>
  <c r="BI32" i="27"/>
  <c r="AS32" i="27"/>
  <c r="BG32" i="27"/>
  <c r="AQ32" i="27"/>
  <c r="AT32" i="27"/>
  <c r="AR32" i="27"/>
  <c r="AP32" i="27"/>
  <c r="AV32" i="27"/>
  <c r="AW32" i="27"/>
  <c r="AU32" i="27"/>
  <c r="AZ32" i="27"/>
  <c r="BD32" i="27"/>
  <c r="BK32" i="27"/>
  <c r="BQ32" i="27"/>
  <c r="BJ32" i="27"/>
  <c r="BF32" i="27"/>
  <c r="BN32" i="27"/>
  <c r="BL32" i="27"/>
  <c r="BB32" i="27"/>
  <c r="AX32" i="27"/>
  <c r="BA32" i="27"/>
  <c r="AY32" i="27"/>
  <c r="BH32" i="27"/>
  <c r="BM32" i="27"/>
  <c r="AK32" i="27"/>
  <c r="BU32" i="27" s="1"/>
  <c r="X32" i="27" s="1"/>
  <c r="DL67" i="27"/>
  <c r="DK67" i="27"/>
  <c r="DL71" i="27"/>
  <c r="DK71" i="27"/>
  <c r="DC35" i="27"/>
  <c r="CY35" i="27"/>
  <c r="D35" i="27" s="1"/>
  <c r="CL35" i="27" s="1"/>
  <c r="BN55" i="27"/>
  <c r="AX55" i="27"/>
  <c r="BL55" i="27"/>
  <c r="AQ55" i="27"/>
  <c r="AS55" i="27"/>
  <c r="AO55" i="27"/>
  <c r="BD55" i="27"/>
  <c r="BM55" i="27"/>
  <c r="BJ55" i="27"/>
  <c r="AT55" i="27"/>
  <c r="BG55" i="27"/>
  <c r="BO55" i="27"/>
  <c r="AM55" i="27"/>
  <c r="BK55" i="27"/>
  <c r="AR55" i="27"/>
  <c r="BC55" i="27"/>
  <c r="BF55" i="27"/>
  <c r="AP55" i="27"/>
  <c r="BA55" i="27"/>
  <c r="BH55" i="27"/>
  <c r="BI55" i="27"/>
  <c r="AW55" i="27"/>
  <c r="AU55" i="27"/>
  <c r="AN55" i="27"/>
  <c r="BQ55" i="27"/>
  <c r="BP55" i="27"/>
  <c r="AV55" i="27"/>
  <c r="BE55" i="27"/>
  <c r="BR55" i="27"/>
  <c r="AZ55" i="27"/>
  <c r="BB55" i="27"/>
  <c r="AY55" i="27"/>
  <c r="DC53" i="27"/>
  <c r="CY53" i="27"/>
  <c r="D53" i="27" s="1"/>
  <c r="CL53" i="27" s="1"/>
  <c r="CY47" i="27"/>
  <c r="D47" i="27" s="1"/>
  <c r="CL47" i="27" s="1"/>
  <c r="DC47" i="27"/>
  <c r="BJ20" i="27"/>
  <c r="AT20" i="27"/>
  <c r="BI20" i="27"/>
  <c r="AS20" i="27"/>
  <c r="BH20" i="27"/>
  <c r="AR20" i="27"/>
  <c r="BK20" i="27"/>
  <c r="BC20" i="27"/>
  <c r="BF20" i="27"/>
  <c r="AP20" i="27"/>
  <c r="BE20" i="27"/>
  <c r="AO20" i="27"/>
  <c r="BD20" i="27"/>
  <c r="AN20" i="27"/>
  <c r="AU20" i="27"/>
  <c r="AM20" i="27"/>
  <c r="AK20" i="27" s="1"/>
  <c r="BU20" i="27" s="1"/>
  <c r="X20" i="27" s="1"/>
  <c r="BR20" i="27"/>
  <c r="BB20" i="27"/>
  <c r="BQ20" i="27"/>
  <c r="BA20" i="27"/>
  <c r="BP20" i="27"/>
  <c r="AZ20" i="27"/>
  <c r="BO20" i="27"/>
  <c r="BG20" i="27"/>
  <c r="AX20" i="27"/>
  <c r="AV20" i="27"/>
  <c r="BM20" i="27"/>
  <c r="AW20" i="27"/>
  <c r="AQ20" i="27"/>
  <c r="BN20" i="27"/>
  <c r="BL20" i="27"/>
  <c r="AY20" i="27"/>
  <c r="CY43" i="27"/>
  <c r="D43" i="27" s="1"/>
  <c r="CL43" i="27" s="1"/>
  <c r="DC43" i="27"/>
  <c r="BQ48" i="27"/>
  <c r="BA48" i="27"/>
  <c r="BG48" i="27"/>
  <c r="AN48" i="27"/>
  <c r="AU48" i="27"/>
  <c r="AS48" i="27"/>
  <c r="AO48" i="27"/>
  <c r="AT48" i="27"/>
  <c r="BI48" i="27"/>
  <c r="BR48" i="27"/>
  <c r="AV48" i="27"/>
  <c r="BJ48" i="27"/>
  <c r="BK48" i="27"/>
  <c r="BF48" i="27"/>
  <c r="BH48" i="27"/>
  <c r="BN48" i="27"/>
  <c r="BE48" i="27"/>
  <c r="BL48" i="27"/>
  <c r="AR48" i="27"/>
  <c r="BC48" i="27"/>
  <c r="AZ48" i="27"/>
  <c r="AX48" i="27"/>
  <c r="AQ48" i="27"/>
  <c r="BD48" i="27"/>
  <c r="AW48" i="27"/>
  <c r="BO48" i="27"/>
  <c r="BB48" i="27"/>
  <c r="AY48" i="27"/>
  <c r="BP48" i="27"/>
  <c r="AM48" i="27"/>
  <c r="BM48" i="27"/>
  <c r="AP48" i="27"/>
  <c r="AK48" i="27"/>
  <c r="BU48" i="27" s="1"/>
  <c r="X48" i="27" s="1"/>
  <c r="DL48" i="27"/>
  <c r="DK48" i="27"/>
  <c r="DL77" i="27"/>
  <c r="DK77" i="27"/>
  <c r="DK28" i="27"/>
  <c r="DL28" i="27"/>
  <c r="BL46" i="27"/>
  <c r="AV46" i="27"/>
  <c r="BJ46" i="27"/>
  <c r="AO46" i="27"/>
  <c r="AQ46" i="27"/>
  <c r="AU46" i="27"/>
  <c r="BN46" i="27"/>
  <c r="AP46" i="27"/>
  <c r="BH46" i="27"/>
  <c r="AR46" i="27"/>
  <c r="BE46" i="27"/>
  <c r="BM46" i="27"/>
  <c r="BQ46" i="27"/>
  <c r="AM46" i="27"/>
  <c r="AK46" i="27" s="1"/>
  <c r="BA46" i="27"/>
  <c r="BK46" i="27"/>
  <c r="BD46" i="27"/>
  <c r="AN46" i="27"/>
  <c r="AY46" i="27"/>
  <c r="BF46" i="27"/>
  <c r="BI46" i="27"/>
  <c r="BG46" i="27"/>
  <c r="AW46" i="27"/>
  <c r="BC46" i="27"/>
  <c r="BP46" i="27"/>
  <c r="AZ46" i="27"/>
  <c r="BO46" i="27"/>
  <c r="AT46" i="27"/>
  <c r="AX46" i="27"/>
  <c r="BB46" i="27"/>
  <c r="AS46" i="27"/>
  <c r="BR46" i="27"/>
  <c r="W4" i="27"/>
  <c r="W5" i="27"/>
  <c r="W7" i="27"/>
  <c r="T7" i="27" s="1"/>
  <c r="W3" i="27"/>
  <c r="W6" i="27"/>
  <c r="BP51" i="27"/>
  <c r="AZ51" i="27"/>
  <c r="BR51" i="27"/>
  <c r="AW51" i="27"/>
  <c r="BA51" i="27"/>
  <c r="BF51" i="27"/>
  <c r="BC51" i="27"/>
  <c r="BE51" i="27"/>
  <c r="BH51" i="27"/>
  <c r="AR51" i="27"/>
  <c r="BG51" i="27"/>
  <c r="BO51" i="27"/>
  <c r="AM51" i="27"/>
  <c r="AO51" i="27"/>
  <c r="AK51" i="27" s="1"/>
  <c r="BN51" i="27"/>
  <c r="AY51" i="27"/>
  <c r="AN51" i="27"/>
  <c r="BI51" i="27"/>
  <c r="BK51" i="27"/>
  <c r="AP51" i="27"/>
  <c r="BL51" i="27"/>
  <c r="BM51" i="27"/>
  <c r="AT51" i="27"/>
  <c r="AS51" i="27"/>
  <c r="BD51" i="27"/>
  <c r="BB51" i="27"/>
  <c r="BQ51" i="27"/>
  <c r="AU51" i="27"/>
  <c r="AV51" i="27"/>
  <c r="AQ51" i="27"/>
  <c r="AX51" i="27"/>
  <c r="BJ51" i="27"/>
  <c r="DK39" i="27"/>
  <c r="DL39" i="27"/>
  <c r="CY49" i="27"/>
  <c r="D49" i="27" s="1"/>
  <c r="CL49" i="27" s="1"/>
  <c r="DC49" i="27"/>
  <c r="DL66" i="27"/>
  <c r="DK66" i="27"/>
  <c r="DF31" i="27"/>
  <c r="DI31" i="27"/>
  <c r="DE31" i="27"/>
  <c r="BP45" i="27"/>
  <c r="AZ45" i="27"/>
  <c r="BR45" i="27"/>
  <c r="AW45" i="27"/>
  <c r="BE45" i="27"/>
  <c r="BQ45" i="27"/>
  <c r="BA45" i="27"/>
  <c r="AS45" i="27"/>
  <c r="BH45" i="27"/>
  <c r="AR45" i="27"/>
  <c r="BG45" i="27"/>
  <c r="BO45" i="27"/>
  <c r="AT45" i="27"/>
  <c r="AU45" i="27"/>
  <c r="AX45" i="27"/>
  <c r="AM45" i="27"/>
  <c r="BD45" i="27"/>
  <c r="AN45" i="27"/>
  <c r="BB45" i="27"/>
  <c r="BJ45" i="27"/>
  <c r="AO45" i="27"/>
  <c r="BK45" i="27"/>
  <c r="BN45" i="27"/>
  <c r="BC45" i="27"/>
  <c r="AQ45" i="27"/>
  <c r="BI45" i="27"/>
  <c r="BL45" i="27"/>
  <c r="AY45" i="27"/>
  <c r="AV45" i="27"/>
  <c r="BF45" i="27"/>
  <c r="BM45" i="27"/>
  <c r="AP45" i="27"/>
  <c r="DE23" i="27"/>
  <c r="DF23" i="27"/>
  <c r="DI23" i="27"/>
  <c r="DK81" i="27"/>
  <c r="DL81" i="27"/>
  <c r="BC42" i="27"/>
  <c r="AM42" i="27"/>
  <c r="BE42" i="27"/>
  <c r="AO42" i="27"/>
  <c r="AT42" i="27"/>
  <c r="AP42" i="27"/>
  <c r="AZ42" i="27"/>
  <c r="AR42" i="27"/>
  <c r="BK42" i="27"/>
  <c r="AU42" i="27"/>
  <c r="BM42" i="27"/>
  <c r="AW42" i="27"/>
  <c r="BJ42" i="27"/>
  <c r="BF42" i="27"/>
  <c r="AN42" i="27"/>
  <c r="BO42" i="27"/>
  <c r="BQ42" i="27"/>
  <c r="BR42" i="27"/>
  <c r="BD42" i="27"/>
  <c r="BH42" i="27"/>
  <c r="BG42" i="27"/>
  <c r="BI42" i="27"/>
  <c r="BB42" i="27"/>
  <c r="BP42" i="27"/>
  <c r="AY42" i="27"/>
  <c r="BA42" i="27"/>
  <c r="BN42" i="27"/>
  <c r="BL42" i="27"/>
  <c r="AQ42" i="27"/>
  <c r="AS42" i="27"/>
  <c r="AX42" i="27"/>
  <c r="AV42" i="27"/>
  <c r="DL68" i="27"/>
  <c r="DK68" i="27"/>
  <c r="BD18" i="27"/>
  <c r="AN18" i="27"/>
  <c r="BC18" i="27"/>
  <c r="AM18" i="27"/>
  <c r="BF18" i="27"/>
  <c r="AP18" i="27"/>
  <c r="AS18" i="27"/>
  <c r="BA18" i="27"/>
  <c r="BL18" i="27"/>
  <c r="AV18" i="27"/>
  <c r="BK18" i="27"/>
  <c r="AU18" i="27"/>
  <c r="BN18" i="27"/>
  <c r="AX18" i="27"/>
  <c r="AW18" i="27"/>
  <c r="AO18" i="27"/>
  <c r="BP18" i="27"/>
  <c r="BO18" i="27"/>
  <c r="BR18" i="27"/>
  <c r="BM18" i="27"/>
  <c r="BG18" i="27"/>
  <c r="BI18" i="27"/>
  <c r="AZ18" i="27"/>
  <c r="AY18" i="27"/>
  <c r="BB18" i="27"/>
  <c r="BE18" i="27"/>
  <c r="AR18" i="27"/>
  <c r="AQ18" i="27"/>
  <c r="AT18" i="27"/>
  <c r="BQ18" i="27"/>
  <c r="BH18" i="27"/>
  <c r="BJ18" i="27"/>
  <c r="DF45" i="27"/>
  <c r="CY54" i="27"/>
  <c r="D54" i="27" s="1"/>
  <c r="CL54" i="27" s="1"/>
  <c r="DC54" i="27"/>
  <c r="DL72" i="27"/>
  <c r="DK72" i="27"/>
  <c r="DK59" i="27"/>
  <c r="DL59" i="27"/>
  <c r="DE43" i="27"/>
  <c r="DI43" i="27"/>
  <c r="DF43" i="27"/>
  <c r="DK83" i="27"/>
  <c r="DL83" i="27"/>
  <c r="BH29" i="27"/>
  <c r="AR29" i="27"/>
  <c r="BJ29" i="27"/>
  <c r="AT29" i="27"/>
  <c r="AU29" i="27"/>
  <c r="BA29" i="27"/>
  <c r="AY29" i="27"/>
  <c r="BM29" i="27"/>
  <c r="BD29" i="27"/>
  <c r="AN29" i="27"/>
  <c r="BF29" i="27"/>
  <c r="AP29" i="27"/>
  <c r="AM29" i="27"/>
  <c r="AS29" i="27"/>
  <c r="AQ29" i="27"/>
  <c r="BE29" i="27"/>
  <c r="BP29" i="27"/>
  <c r="AZ29" i="27"/>
  <c r="BR29" i="27"/>
  <c r="BB29" i="27"/>
  <c r="BK29" i="27"/>
  <c r="BQ29" i="27"/>
  <c r="BO29" i="27"/>
  <c r="AW29" i="27"/>
  <c r="BL29" i="27"/>
  <c r="AV29" i="27"/>
  <c r="BN29" i="27"/>
  <c r="AX29" i="27"/>
  <c r="BC29" i="27"/>
  <c r="BI29" i="27"/>
  <c r="BG29" i="27"/>
  <c r="AO29" i="27"/>
  <c r="DC56" i="27"/>
  <c r="CY56" i="27"/>
  <c r="D56" i="27" s="1"/>
  <c r="CL56" i="27" s="1"/>
  <c r="DK46" i="27"/>
  <c r="DL46" i="27"/>
  <c r="BN44" i="27"/>
  <c r="BL44" i="27"/>
  <c r="AY44" i="27"/>
  <c r="AR44" i="27"/>
  <c r="BK44" i="27"/>
  <c r="BJ44" i="27"/>
  <c r="AT44" i="27"/>
  <c r="BG44" i="27"/>
  <c r="BO44" i="27"/>
  <c r="AS44" i="27"/>
  <c r="AU44" i="27"/>
  <c r="BC44" i="27"/>
  <c r="BH44" i="27"/>
  <c r="BF44" i="27"/>
  <c r="BI44" i="27"/>
  <c r="AM44" i="27"/>
  <c r="AK44" i="27" s="1"/>
  <c r="BU44" i="27" s="1"/>
  <c r="X44" i="27" s="1"/>
  <c r="AP44" i="27"/>
  <c r="AN44" i="27"/>
  <c r="BR44" i="27"/>
  <c r="BB44" i="27"/>
  <c r="BQ44" i="27"/>
  <c r="AV44" i="27"/>
  <c r="BD44" i="27"/>
  <c r="BP44" i="27"/>
  <c r="AZ44" i="27"/>
  <c r="BM44" i="27"/>
  <c r="AX44" i="27"/>
  <c r="AQ44" i="27"/>
  <c r="BE44" i="27"/>
  <c r="AO44" i="27"/>
  <c r="BA44" i="27"/>
  <c r="AW44" i="27"/>
  <c r="DL64" i="27"/>
  <c r="DK64" i="27"/>
  <c r="DK22" i="27"/>
  <c r="DL22" i="27"/>
  <c r="DL17" i="27"/>
  <c r="DK17" i="27"/>
  <c r="BC25" i="27"/>
  <c r="AM25" i="27"/>
  <c r="AZ25" i="27"/>
  <c r="BI25" i="27"/>
  <c r="AN25" i="27"/>
  <c r="BB25" i="27"/>
  <c r="BA25" i="27"/>
  <c r="AP25" i="27"/>
  <c r="BK25" i="27"/>
  <c r="AU25" i="27"/>
  <c r="BJ25" i="27"/>
  <c r="AO25" i="27"/>
  <c r="AX25" i="27"/>
  <c r="BM25" i="27"/>
  <c r="AR25" i="27"/>
  <c r="AV25" i="27"/>
  <c r="BH25" i="27"/>
  <c r="BO25" i="27"/>
  <c r="BP25" i="27"/>
  <c r="BD25" i="27"/>
  <c r="AW25" i="27"/>
  <c r="BE25" i="27"/>
  <c r="BF25" i="27"/>
  <c r="BG25" i="27"/>
  <c r="AY25" i="27"/>
  <c r="AT25" i="27"/>
  <c r="BR25" i="27"/>
  <c r="BQ25" i="27"/>
  <c r="AQ25" i="27"/>
  <c r="BN25" i="27"/>
  <c r="BL25" i="27"/>
  <c r="AS25" i="27"/>
  <c r="DK49" i="27"/>
  <c r="DL49" i="27"/>
  <c r="CY41" i="27"/>
  <c r="DC41" i="27"/>
  <c r="BR53" i="27"/>
  <c r="BB53" i="27"/>
  <c r="BP53" i="27"/>
  <c r="BF53" i="27"/>
  <c r="AP53" i="27"/>
  <c r="AZ53" i="27"/>
  <c r="BJ53" i="27"/>
  <c r="BE53" i="27"/>
  <c r="BG53" i="27"/>
  <c r="BA53" i="27"/>
  <c r="AV53" i="27"/>
  <c r="BC53" i="27"/>
  <c r="AN53" i="27"/>
  <c r="AX53" i="27"/>
  <c r="AU53" i="27"/>
  <c r="AY53" i="27"/>
  <c r="AQ53" i="27"/>
  <c r="AM53" i="27"/>
  <c r="BQ53" i="27"/>
  <c r="AT53" i="27"/>
  <c r="AO53" i="27"/>
  <c r="AR53" i="27"/>
  <c r="BO53" i="27"/>
  <c r="BL53" i="27"/>
  <c r="BH53" i="27"/>
  <c r="BN53" i="27"/>
  <c r="BK53" i="27"/>
  <c r="BM53" i="27"/>
  <c r="BI53" i="27"/>
  <c r="BD53" i="27"/>
  <c r="AS53" i="27"/>
  <c r="AW53" i="27"/>
  <c r="AK53" i="27"/>
  <c r="BU53" i="27" s="1"/>
  <c r="X53" i="27" s="1"/>
  <c r="BH22" i="27"/>
  <c r="AR22" i="27"/>
  <c r="BG22" i="27"/>
  <c r="AQ22" i="27"/>
  <c r="BJ22" i="27"/>
  <c r="AT22" i="27"/>
  <c r="BQ22" i="27"/>
  <c r="BI22" i="27"/>
  <c r="BD22" i="27"/>
  <c r="AN22" i="27"/>
  <c r="BC22" i="27"/>
  <c r="AM22" i="27"/>
  <c r="BF22" i="27"/>
  <c r="AP22" i="27"/>
  <c r="BA22" i="27"/>
  <c r="AS22" i="27"/>
  <c r="BP22" i="27"/>
  <c r="AZ22" i="27"/>
  <c r="BO22" i="27"/>
  <c r="AY22" i="27"/>
  <c r="BR22" i="27"/>
  <c r="BB22" i="27"/>
  <c r="BE22" i="27"/>
  <c r="BM22" i="27"/>
  <c r="BK22" i="27"/>
  <c r="AO22" i="27"/>
  <c r="AW22" i="27"/>
  <c r="BL22" i="27"/>
  <c r="BN22" i="27"/>
  <c r="AV22" i="27"/>
  <c r="AX22" i="27"/>
  <c r="AU22" i="27"/>
  <c r="DL47" i="27"/>
  <c r="DK47" i="27"/>
  <c r="BK27" i="27"/>
  <c r="AU27" i="27"/>
  <c r="BL27" i="27"/>
  <c r="AP27" i="27"/>
  <c r="AK27" i="27" s="1"/>
  <c r="AZ27" i="27"/>
  <c r="BI27" i="27"/>
  <c r="AN27" i="27"/>
  <c r="AR27" i="27"/>
  <c r="BC27" i="27"/>
  <c r="AM27" i="27"/>
  <c r="BA27" i="27"/>
  <c r="BJ27" i="27"/>
  <c r="AO27" i="27"/>
  <c r="AX27" i="27"/>
  <c r="AW27" i="27"/>
  <c r="BB27" i="27"/>
  <c r="BO27" i="27"/>
  <c r="AY27" i="27"/>
  <c r="BQ27" i="27"/>
  <c r="AV27" i="27"/>
  <c r="BE27" i="27"/>
  <c r="BN27" i="27"/>
  <c r="AS27" i="27"/>
  <c r="BM27" i="27"/>
  <c r="AQ27" i="27"/>
  <c r="BD27" i="27"/>
  <c r="BF27" i="27"/>
  <c r="BR27" i="27"/>
  <c r="BP27" i="27"/>
  <c r="BH27" i="27"/>
  <c r="BG27" i="27"/>
  <c r="AT27" i="27"/>
  <c r="DE27" i="27"/>
  <c r="DI27" i="27"/>
  <c r="DF24" i="27"/>
  <c r="DC24" i="27"/>
  <c r="CY24" i="27"/>
  <c r="D24" i="27" s="1"/>
  <c r="CL24" i="27" s="1"/>
  <c r="BC21" i="27"/>
  <c r="AM21" i="27"/>
  <c r="BF21" i="27"/>
  <c r="AP21" i="27"/>
  <c r="BE21" i="27"/>
  <c r="AO21" i="27"/>
  <c r="AZ21" i="27"/>
  <c r="AR21" i="27"/>
  <c r="BK21" i="27"/>
  <c r="AU21" i="27"/>
  <c r="BN21" i="27"/>
  <c r="AX21" i="27"/>
  <c r="BM21" i="27"/>
  <c r="AW21" i="27"/>
  <c r="BG21" i="27"/>
  <c r="AQ21" i="27"/>
  <c r="BJ21" i="27"/>
  <c r="AT21" i="27"/>
  <c r="BI21" i="27"/>
  <c r="AS21" i="27"/>
  <c r="BP21" i="27"/>
  <c r="BH21" i="27"/>
  <c r="AY21" i="27"/>
  <c r="BA21" i="27"/>
  <c r="AV21" i="27"/>
  <c r="BR21" i="27"/>
  <c r="BD21" i="27"/>
  <c r="BB21" i="27"/>
  <c r="AN21" i="27"/>
  <c r="BO21" i="27"/>
  <c r="BQ21" i="27"/>
  <c r="BL21" i="27"/>
  <c r="DL63" i="27"/>
  <c r="DK63" i="27"/>
  <c r="DC34" i="27"/>
  <c r="CY34" i="27"/>
  <c r="D34" i="27" s="1"/>
  <c r="CL34" i="27" s="1"/>
  <c r="CP11" i="27"/>
  <c r="CP9" i="27" s="1"/>
  <c r="AD33" i="27" s="1"/>
  <c r="CO11" i="27"/>
  <c r="CO9" i="27" s="1"/>
  <c r="AD32" i="27" s="1"/>
  <c r="CN11" i="27"/>
  <c r="CN9" i="27" s="1"/>
  <c r="AD31" i="27" s="1"/>
  <c r="CT11" i="27"/>
  <c r="CT9" i="27" s="1"/>
  <c r="AD37" i="27" s="1"/>
  <c r="DC55" i="27"/>
  <c r="CY55" i="27"/>
  <c r="D55" i="27" s="1"/>
  <c r="CL55" i="27" s="1"/>
  <c r="BF47" i="27"/>
  <c r="AP47" i="27"/>
  <c r="AZ47" i="27"/>
  <c r="BH47" i="27"/>
  <c r="BL47" i="27"/>
  <c r="BI47" i="27"/>
  <c r="AN47" i="27"/>
  <c r="AY47" i="27"/>
  <c r="BJ47" i="27"/>
  <c r="AT47" i="27"/>
  <c r="BE47" i="27"/>
  <c r="BO47" i="27"/>
  <c r="AM47" i="27"/>
  <c r="AK47" i="27" s="1"/>
  <c r="AQ47" i="27"/>
  <c r="BC47" i="27"/>
  <c r="BG47" i="27"/>
  <c r="AX47" i="27"/>
  <c r="AO47" i="27"/>
  <c r="AW47" i="27"/>
  <c r="BR47" i="27"/>
  <c r="BP47" i="27"/>
  <c r="BA47" i="27"/>
  <c r="AV47" i="27"/>
  <c r="AR47" i="27"/>
  <c r="BN47" i="27"/>
  <c r="BK47" i="27"/>
  <c r="AS47" i="27"/>
  <c r="BQ47" i="27"/>
  <c r="BB47" i="27"/>
  <c r="AU47" i="27"/>
  <c r="BD47" i="27"/>
  <c r="BM47" i="27"/>
  <c r="DL24" i="27"/>
  <c r="DK24" i="27"/>
  <c r="CY40" i="27"/>
  <c r="D40" i="27" s="1"/>
  <c r="CL40" i="27" s="1"/>
  <c r="DC40" i="27"/>
  <c r="CM11" i="27"/>
  <c r="CM9" i="27" s="1"/>
  <c r="AD30" i="27" s="1"/>
  <c r="AD29" i="27" s="1"/>
  <c r="CM10" i="27"/>
  <c r="BO16" i="27"/>
  <c r="AY16" i="27"/>
  <c r="BR16" i="27"/>
  <c r="BB16" i="27"/>
  <c r="BI16" i="27"/>
  <c r="AS16" i="27"/>
  <c r="BP16" i="27"/>
  <c r="AT16" i="27"/>
  <c r="BG16" i="27"/>
  <c r="AQ16" i="27"/>
  <c r="BJ16" i="27"/>
  <c r="BQ16" i="27"/>
  <c r="BA16" i="27"/>
  <c r="BD16" i="27"/>
  <c r="AP16" i="27"/>
  <c r="AV16" i="27"/>
  <c r="BC16" i="27"/>
  <c r="AM16" i="27"/>
  <c r="BF16" i="27"/>
  <c r="BM16" i="27"/>
  <c r="AW16" i="27"/>
  <c r="AR16" i="27"/>
  <c r="BH16" i="27"/>
  <c r="AN16" i="27"/>
  <c r="AU16" i="27"/>
  <c r="AO16" i="27"/>
  <c r="BN16" i="27"/>
  <c r="AZ16" i="27"/>
  <c r="AX16" i="27"/>
  <c r="BL16" i="27"/>
  <c r="BK16" i="27"/>
  <c r="BE16" i="27"/>
  <c r="AK16" i="27"/>
  <c r="DK82" i="27"/>
  <c r="DL82" i="27"/>
  <c r="CY38" i="27"/>
  <c r="D38" i="27" s="1"/>
  <c r="CL38" i="27" s="1"/>
  <c r="DC38" i="27"/>
  <c r="DC18" i="27"/>
  <c r="CY18" i="27"/>
  <c r="D18" i="27" s="1"/>
  <c r="CL18" i="27" s="1"/>
  <c r="DF27" i="27"/>
  <c r="DC27" i="27"/>
  <c r="CY27" i="27"/>
  <c r="D27" i="27" s="1"/>
  <c r="CL27" i="27" s="1"/>
  <c r="DC20" i="27"/>
  <c r="CY20" i="27"/>
  <c r="D20" i="27" s="1"/>
  <c r="CL20" i="27" s="1"/>
  <c r="BF24" i="27"/>
  <c r="AP24" i="27"/>
  <c r="BE24" i="27"/>
  <c r="AO24" i="27"/>
  <c r="BD24" i="27"/>
  <c r="AN24" i="27"/>
  <c r="AQ24" i="27"/>
  <c r="AY24" i="27"/>
  <c r="BN24" i="27"/>
  <c r="AX24" i="27"/>
  <c r="BM24" i="27"/>
  <c r="AW24" i="27"/>
  <c r="BL24" i="27"/>
  <c r="AV24" i="27"/>
  <c r="AU24" i="27"/>
  <c r="AM24" i="27"/>
  <c r="BR24" i="27"/>
  <c r="BQ24" i="27"/>
  <c r="BP24" i="27"/>
  <c r="BK24" i="27"/>
  <c r="BJ24" i="27"/>
  <c r="BI24" i="27"/>
  <c r="BH24" i="27"/>
  <c r="BG24" i="27"/>
  <c r="BB24" i="27"/>
  <c r="BA24" i="27"/>
  <c r="AZ24" i="27"/>
  <c r="BC24" i="27"/>
  <c r="AT24" i="27"/>
  <c r="AS24" i="27"/>
  <c r="AR24" i="27"/>
  <c r="BO24" i="27"/>
  <c r="DL56" i="27"/>
  <c r="DK56" i="27"/>
  <c r="DK79" i="27"/>
  <c r="DL79" i="27"/>
  <c r="CY44" i="27"/>
  <c r="D44" i="27" s="1"/>
  <c r="CL44" i="27" s="1"/>
  <c r="DC44" i="27"/>
  <c r="BF57" i="27"/>
  <c r="AP57" i="27"/>
  <c r="BA57" i="27"/>
  <c r="BE57" i="27"/>
  <c r="BC57" i="27"/>
  <c r="AM57" i="27"/>
  <c r="BH57" i="27"/>
  <c r="BO57" i="27"/>
  <c r="BR57" i="27"/>
  <c r="BB57" i="27"/>
  <c r="BQ57" i="27"/>
  <c r="AV57" i="27"/>
  <c r="AY57" i="27"/>
  <c r="AS57" i="27"/>
  <c r="BP57" i="27"/>
  <c r="AU57" i="27"/>
  <c r="BN57" i="27"/>
  <c r="AX57" i="27"/>
  <c r="BL57" i="27"/>
  <c r="AQ57" i="27"/>
  <c r="AR57" i="27"/>
  <c r="BI57" i="27"/>
  <c r="BD57" i="27"/>
  <c r="AZ57" i="27"/>
  <c r="BJ57" i="27"/>
  <c r="AT57" i="27"/>
  <c r="BG57" i="27"/>
  <c r="BM57" i="27"/>
  <c r="BK57" i="27"/>
  <c r="AW57" i="27"/>
  <c r="AO57" i="27"/>
  <c r="AN57" i="27"/>
  <c r="AK57" i="27"/>
  <c r="DL32" i="27"/>
  <c r="DK32" i="27"/>
  <c r="DK80" i="27"/>
  <c r="DL80" i="27"/>
  <c r="DK69" i="27"/>
  <c r="DL69" i="27"/>
  <c r="CU127" i="27"/>
  <c r="CX36" i="27"/>
  <c r="DC33" i="27"/>
  <c r="CY33" i="27"/>
  <c r="D33" i="27" s="1"/>
  <c r="CL33" i="27" s="1"/>
  <c r="CY46" i="27"/>
  <c r="D46" i="27" s="1"/>
  <c r="CL46" i="27" s="1"/>
  <c r="DC46" i="27"/>
  <c r="DF33" i="27"/>
  <c r="DK25" i="27"/>
  <c r="DL25" i="27"/>
  <c r="DF34" i="27"/>
  <c r="DC32" i="27"/>
  <c r="CY32" i="27"/>
  <c r="D32" i="27" s="1"/>
  <c r="CL32" i="27" s="1"/>
  <c r="BJ31" i="27"/>
  <c r="AT31" i="27"/>
  <c r="BH31" i="27"/>
  <c r="AR31" i="27"/>
  <c r="AU31" i="27"/>
  <c r="BA31" i="27"/>
  <c r="AY31" i="27"/>
  <c r="BM31" i="27"/>
  <c r="BF31" i="27"/>
  <c r="AP31" i="27"/>
  <c r="BD31" i="27"/>
  <c r="AN31" i="27"/>
  <c r="AM31" i="27"/>
  <c r="AS31" i="27"/>
  <c r="AQ31" i="27"/>
  <c r="BE31" i="27"/>
  <c r="BR31" i="27"/>
  <c r="BB31" i="27"/>
  <c r="BP31" i="27"/>
  <c r="AZ31" i="27"/>
  <c r="BK31" i="27"/>
  <c r="BQ31" i="27"/>
  <c r="BO31" i="27"/>
  <c r="AW31" i="27"/>
  <c r="AV31" i="27"/>
  <c r="AO31" i="27"/>
  <c r="BN31" i="27"/>
  <c r="BC31" i="27"/>
  <c r="AX31" i="27"/>
  <c r="BI31" i="27"/>
  <c r="BL31" i="27"/>
  <c r="BG31" i="27"/>
  <c r="CU11" i="27"/>
  <c r="CU9" i="27" s="1"/>
  <c r="AD38" i="27" s="1"/>
  <c r="DL55" i="27"/>
  <c r="DK55" i="27"/>
  <c r="CY37" i="27"/>
  <c r="D37" i="27" s="1"/>
  <c r="CL37" i="27" s="1"/>
  <c r="DC37" i="27"/>
  <c r="DK60" i="27"/>
  <c r="DL60" i="27"/>
  <c r="DL16" i="27"/>
  <c r="DK16" i="27"/>
  <c r="A32" i="27"/>
  <c r="DC31" i="27"/>
  <c r="CY31" i="27"/>
  <c r="D31" i="27" s="1"/>
  <c r="CL31" i="27" s="1"/>
  <c r="DL73" i="27"/>
  <c r="DK73" i="27"/>
  <c r="A47" i="27"/>
  <c r="DK76" i="27"/>
  <c r="DL76" i="27"/>
  <c r="DI20" i="27"/>
  <c r="DE20" i="27"/>
  <c r="DF20" i="27"/>
  <c r="BH52" i="27"/>
  <c r="AR52" i="27"/>
  <c r="BE52" i="27"/>
  <c r="BM52" i="27"/>
  <c r="BN52" i="27"/>
  <c r="BI52" i="27"/>
  <c r="AM52" i="27"/>
  <c r="AK52" i="27" s="1"/>
  <c r="BU52" i="27" s="1"/>
  <c r="X52" i="27" s="1"/>
  <c r="BB52" i="27"/>
  <c r="BP52" i="27"/>
  <c r="AZ52" i="27"/>
  <c r="BO52" i="27"/>
  <c r="AT52" i="27"/>
  <c r="AX52" i="27"/>
  <c r="AU52" i="27"/>
  <c r="AP52" i="27"/>
  <c r="AW52" i="27"/>
  <c r="BD52" i="27"/>
  <c r="AY52" i="27"/>
  <c r="BC52" i="27"/>
  <c r="BQ52" i="27"/>
  <c r="AO52" i="27"/>
  <c r="BR52" i="27"/>
  <c r="AN52" i="27"/>
  <c r="BF52" i="27"/>
  <c r="BA52" i="27"/>
  <c r="AS52" i="27"/>
  <c r="BL52" i="27"/>
  <c r="BJ52" i="27"/>
  <c r="AQ52" i="27"/>
  <c r="BG52" i="27"/>
  <c r="AV52" i="27"/>
  <c r="BK52" i="27"/>
  <c r="DL52" i="27"/>
  <c r="DK52" i="27"/>
  <c r="DL74" i="27"/>
  <c r="DK74" i="27"/>
  <c r="DC42" i="27"/>
  <c r="CY42" i="27"/>
  <c r="D42" i="27" s="1"/>
  <c r="CL42" i="27" s="1"/>
  <c r="DE19" i="27"/>
  <c r="DI19" i="27"/>
  <c r="DF19" i="27"/>
  <c r="DI30" i="27"/>
  <c r="DE30" i="27"/>
  <c r="DF30" i="27"/>
  <c r="BO30" i="27"/>
  <c r="AY30" i="27"/>
  <c r="BQ30" i="27"/>
  <c r="BA30" i="27"/>
  <c r="BR30" i="27"/>
  <c r="BP30" i="27"/>
  <c r="BN30" i="27"/>
  <c r="AV30" i="27"/>
  <c r="BG30" i="27"/>
  <c r="AQ30" i="27"/>
  <c r="BI30" i="27"/>
  <c r="AS30" i="27"/>
  <c r="BB30" i="27"/>
  <c r="AZ30" i="27"/>
  <c r="AX30" i="27"/>
  <c r="BL30" i="27"/>
  <c r="BC30" i="27"/>
  <c r="AM30" i="27"/>
  <c r="BE30" i="27"/>
  <c r="AO30" i="27"/>
  <c r="AT30" i="27"/>
  <c r="AR30" i="27"/>
  <c r="AP30" i="27"/>
  <c r="BD30" i="27"/>
  <c r="AU30" i="27"/>
  <c r="BH30" i="27"/>
  <c r="BM30" i="27"/>
  <c r="BF30" i="27"/>
  <c r="AW30" i="27"/>
  <c r="AN30" i="27"/>
  <c r="BK30" i="27"/>
  <c r="BJ30" i="27"/>
  <c r="CY50" i="27"/>
  <c r="D50" i="27" s="1"/>
  <c r="CL50" i="27" s="1"/>
  <c r="DC50" i="27"/>
  <c r="BP41" i="27"/>
  <c r="AZ41" i="27"/>
  <c r="BI41" i="27"/>
  <c r="AS41" i="27"/>
  <c r="BG41" i="27"/>
  <c r="AQ41" i="27"/>
  <c r="AX41" i="27"/>
  <c r="BB41" i="27"/>
  <c r="BE41" i="27"/>
  <c r="AO41" i="27"/>
  <c r="AK41" i="27" s="1"/>
  <c r="BC41" i="27"/>
  <c r="AM41" i="27"/>
  <c r="AP41" i="27"/>
  <c r="AT41" i="27"/>
  <c r="BQ41" i="27"/>
  <c r="BA41" i="27"/>
  <c r="BO41" i="27"/>
  <c r="AY41" i="27"/>
  <c r="BN41" i="27"/>
  <c r="BR41" i="27"/>
  <c r="AN41" i="27"/>
  <c r="AR41" i="27"/>
  <c r="BM41" i="27"/>
  <c r="AW41" i="27"/>
  <c r="BK41" i="27"/>
  <c r="AU41" i="27"/>
  <c r="BF41" i="27"/>
  <c r="BJ41" i="27"/>
  <c r="BD41" i="27"/>
  <c r="BH41" i="27"/>
  <c r="AV41" i="27"/>
  <c r="BL41" i="27"/>
  <c r="DK70" i="27"/>
  <c r="DL70" i="27"/>
  <c r="DK58" i="27"/>
  <c r="DL58" i="27"/>
  <c r="DF26" i="27"/>
  <c r="DE26" i="27"/>
  <c r="DI26" i="27"/>
  <c r="CY21" i="27"/>
  <c r="D21" i="27" s="1"/>
  <c r="CL21" i="27" s="1"/>
  <c r="DC21" i="27"/>
  <c r="BA56" i="27"/>
  <c r="AV56" i="27"/>
  <c r="AZ56" i="27"/>
  <c r="BM56" i="27"/>
  <c r="AW56" i="27"/>
  <c r="BL56" i="27"/>
  <c r="AQ56" i="27"/>
  <c r="AU56" i="27"/>
  <c r="AR56" i="27"/>
  <c r="BF56" i="27"/>
  <c r="AP56" i="27"/>
  <c r="BI56" i="27"/>
  <c r="AS56" i="27"/>
  <c r="BG56" i="27"/>
  <c r="BP56" i="27"/>
  <c r="AN56" i="27"/>
  <c r="BN56" i="27"/>
  <c r="AT56" i="27"/>
  <c r="BO56" i="27"/>
  <c r="BE56" i="27"/>
  <c r="AO56" i="27"/>
  <c r="BB56" i="27"/>
  <c r="BJ56" i="27"/>
  <c r="BK56" i="27"/>
  <c r="AY56" i="27"/>
  <c r="AX56" i="27"/>
  <c r="BD56" i="27"/>
  <c r="BQ56" i="27"/>
  <c r="BR56" i="27"/>
  <c r="BC56" i="27"/>
  <c r="AM56" i="27"/>
  <c r="BH56" i="27"/>
  <c r="CU124" i="27"/>
  <c r="AE9" i="27"/>
  <c r="AD9" i="27" s="1"/>
  <c r="AE8" i="27"/>
  <c r="AD8" i="27" s="1"/>
  <c r="AE5" i="27"/>
  <c r="AD5" i="27" s="1"/>
  <c r="AE3" i="27"/>
  <c r="AD3" i="27" s="1"/>
  <c r="AE6" i="27"/>
  <c r="AD6" i="27" s="1"/>
  <c r="AE7" i="27"/>
  <c r="AD7" i="27" s="1"/>
  <c r="B12" i="27"/>
  <c r="C12" i="27" s="1"/>
  <c r="AE4" i="27"/>
  <c r="AD4" i="27" s="1"/>
  <c r="AE12" i="27"/>
  <c r="AD12" i="27" s="1"/>
  <c r="AE11" i="27"/>
  <c r="AD11" i="27" s="1"/>
  <c r="AE10" i="27"/>
  <c r="AD10" i="27" s="1"/>
  <c r="CX16" i="27"/>
  <c r="A23" i="27" s="1"/>
  <c r="BI39" i="27"/>
  <c r="AS39" i="27"/>
  <c r="BG39" i="27"/>
  <c r="AQ39" i="27"/>
  <c r="AV39" i="27"/>
  <c r="AZ39" i="27"/>
  <c r="AP39" i="27"/>
  <c r="BE39" i="27"/>
  <c r="AO39" i="27"/>
  <c r="BC39" i="27"/>
  <c r="AM39" i="27"/>
  <c r="AN39" i="27"/>
  <c r="AR39" i="27"/>
  <c r="BF39" i="27"/>
  <c r="BQ39" i="27"/>
  <c r="BA39" i="27"/>
  <c r="BO39" i="27"/>
  <c r="AY39" i="27"/>
  <c r="BL39" i="27"/>
  <c r="BP39" i="27"/>
  <c r="BB39" i="27"/>
  <c r="BJ39" i="27"/>
  <c r="BM39" i="27"/>
  <c r="AW39" i="27"/>
  <c r="BK39" i="27"/>
  <c r="AU39" i="27"/>
  <c r="BD39" i="27"/>
  <c r="BH39" i="27"/>
  <c r="BR39" i="27"/>
  <c r="AT39" i="27"/>
  <c r="AX39" i="27"/>
  <c r="BN39" i="27"/>
  <c r="AK39" i="27"/>
  <c r="DI57" i="27"/>
  <c r="DE57" i="27"/>
  <c r="DF57" i="27"/>
  <c r="DL45" i="27"/>
  <c r="DK45" i="27"/>
  <c r="A50" i="27"/>
  <c r="BI50" i="27"/>
  <c r="AS50" i="27"/>
  <c r="BG50" i="27"/>
  <c r="BN50" i="27"/>
  <c r="BO50" i="27"/>
  <c r="BJ50" i="27"/>
  <c r="AX50" i="27"/>
  <c r="BC50" i="27"/>
  <c r="BE50" i="27"/>
  <c r="AO50" i="27"/>
  <c r="BB50" i="27"/>
  <c r="BF50" i="27"/>
  <c r="BD50" i="27"/>
  <c r="BQ50" i="27"/>
  <c r="BA50" i="27"/>
  <c r="BR50" i="27"/>
  <c r="AV50" i="27"/>
  <c r="AY50" i="27"/>
  <c r="AU50" i="27"/>
  <c r="AP50" i="27"/>
  <c r="AN50" i="27"/>
  <c r="BM50" i="27"/>
  <c r="AW50" i="27"/>
  <c r="BL50" i="27"/>
  <c r="AQ50" i="27"/>
  <c r="AR50" i="27"/>
  <c r="AM50" i="27"/>
  <c r="AK50" i="27" s="1"/>
  <c r="BP50" i="27"/>
  <c r="BK50" i="27"/>
  <c r="AZ50" i="27"/>
  <c r="BH50" i="27"/>
  <c r="AT50" i="27"/>
  <c r="DL62" i="27"/>
  <c r="DK62" i="27"/>
  <c r="BP43" i="27"/>
  <c r="AZ43" i="27"/>
  <c r="BA43" i="27"/>
  <c r="BN43" i="27"/>
  <c r="AT43" i="27"/>
  <c r="AW43" i="27"/>
  <c r="AS43" i="27"/>
  <c r="BJ43" i="27"/>
  <c r="BH43" i="27"/>
  <c r="BK43" i="27"/>
  <c r="AR43" i="27"/>
  <c r="BC43" i="27"/>
  <c r="BR43" i="27"/>
  <c r="BM43" i="27"/>
  <c r="BO43" i="27"/>
  <c r="BE43" i="27"/>
  <c r="BL43" i="27"/>
  <c r="AV43" i="27"/>
  <c r="AP43" i="27"/>
  <c r="AY43" i="27"/>
  <c r="BD43" i="27"/>
  <c r="AN43" i="27"/>
  <c r="BG43" i="27"/>
  <c r="AU43" i="27"/>
  <c r="BQ43" i="27"/>
  <c r="BI43" i="27"/>
  <c r="AO43" i="27"/>
  <c r="AQ43" i="27"/>
  <c r="BF43" i="27"/>
  <c r="AX43" i="27"/>
  <c r="BB43" i="27"/>
  <c r="AM43" i="27"/>
  <c r="DL84" i="27"/>
  <c r="DK84" i="27"/>
  <c r="DF40" i="27"/>
  <c r="DC48" i="27"/>
  <c r="CY48" i="27"/>
  <c r="D48" i="27" s="1"/>
  <c r="CL48" i="27" s="1"/>
  <c r="DI29" i="27"/>
  <c r="DE29" i="27"/>
  <c r="DF42" i="27"/>
  <c r="DC28" i="27"/>
  <c r="CY28" i="27"/>
  <c r="D28" i="27" s="1"/>
  <c r="CL28" i="27" s="1"/>
  <c r="DF46" i="27"/>
  <c r="DK35" i="27"/>
  <c r="DL35" i="27"/>
  <c r="AS38" i="27"/>
  <c r="BB38" i="27"/>
  <c r="BP38" i="27"/>
  <c r="BE38" i="27"/>
  <c r="AO38" i="27"/>
  <c r="BC38" i="27"/>
  <c r="AM38" i="27"/>
  <c r="AK38" i="27" s="1"/>
  <c r="AT38" i="27"/>
  <c r="AP38" i="27"/>
  <c r="AZ38" i="27"/>
  <c r="AR38" i="27"/>
  <c r="BO38" i="27"/>
  <c r="BN38" i="27"/>
  <c r="BL38" i="27"/>
  <c r="BQ38" i="27"/>
  <c r="BA38" i="27"/>
  <c r="AY38" i="27"/>
  <c r="BR38" i="27"/>
  <c r="BD38" i="27"/>
  <c r="BM38" i="27"/>
  <c r="AW38" i="27"/>
  <c r="BK38" i="27"/>
  <c r="AU38" i="27"/>
  <c r="BJ38" i="27"/>
  <c r="BF38" i="27"/>
  <c r="AN38" i="27"/>
  <c r="AV38" i="27"/>
  <c r="BI38" i="27"/>
  <c r="BG38" i="27"/>
  <c r="AQ38" i="27"/>
  <c r="AX38" i="27"/>
  <c r="BH38" i="27"/>
  <c r="BR49" i="27"/>
  <c r="BB49" i="27"/>
  <c r="BP49" i="27"/>
  <c r="AU49" i="27"/>
  <c r="AY49" i="27"/>
  <c r="AQ49" i="27"/>
  <c r="AM49" i="27"/>
  <c r="AN49" i="27"/>
  <c r="BJ49" i="27"/>
  <c r="AT49" i="27"/>
  <c r="BE49" i="27"/>
  <c r="BM49" i="27"/>
  <c r="BI49" i="27"/>
  <c r="BD49" i="27"/>
  <c r="AW49" i="27"/>
  <c r="BC49" i="27"/>
  <c r="AP49" i="27"/>
  <c r="BG49" i="27"/>
  <c r="AV49" i="27"/>
  <c r="AS49" i="27"/>
  <c r="BN49" i="27"/>
  <c r="BK49" i="27"/>
  <c r="AR49" i="27"/>
  <c r="BQ49" i="27"/>
  <c r="BF49" i="27"/>
  <c r="AZ49" i="27"/>
  <c r="BA49" i="27"/>
  <c r="BH49" i="27"/>
  <c r="AX49" i="27"/>
  <c r="AO49" i="27"/>
  <c r="BO49" i="27"/>
  <c r="BL49" i="27"/>
  <c r="DC45" i="27"/>
  <c r="CY45" i="27"/>
  <c r="D45" i="27" s="1"/>
  <c r="CL45" i="27" s="1"/>
  <c r="BI35" i="27"/>
  <c r="AM35" i="27"/>
  <c r="AX35" i="27"/>
  <c r="BP35" i="27"/>
  <c r="AZ35" i="27"/>
  <c r="BO35" i="27"/>
  <c r="AT35" i="27"/>
  <c r="BG35" i="27"/>
  <c r="AP35" i="27"/>
  <c r="BC35" i="27"/>
  <c r="AU35" i="27"/>
  <c r="BL35" i="27"/>
  <c r="AV35" i="27"/>
  <c r="BJ35" i="27"/>
  <c r="AO35" i="27"/>
  <c r="BB35" i="27"/>
  <c r="BA35" i="27"/>
  <c r="BH35" i="27"/>
  <c r="AR35" i="27"/>
  <c r="BE35" i="27"/>
  <c r="BR35" i="27"/>
  <c r="AW35" i="27"/>
  <c r="BK35" i="27"/>
  <c r="BQ35" i="27"/>
  <c r="BD35" i="27"/>
  <c r="AN35" i="27"/>
  <c r="AY35" i="27"/>
  <c r="BM35" i="27"/>
  <c r="AQ35" i="27"/>
  <c r="AS35" i="27"/>
  <c r="BN35" i="27"/>
  <c r="BF35" i="27"/>
  <c r="DK65" i="27"/>
  <c r="DL65" i="27"/>
  <c r="A43" i="27"/>
  <c r="DC17" i="27"/>
  <c r="CY17" i="27"/>
  <c r="D17" i="27" s="1"/>
  <c r="CL17" i="27" s="1"/>
  <c r="BC17" i="27"/>
  <c r="AM17" i="27"/>
  <c r="BF17" i="27"/>
  <c r="AP17" i="27"/>
  <c r="BE17" i="27"/>
  <c r="AO17" i="27"/>
  <c r="BD17" i="27"/>
  <c r="AZ17" i="27"/>
  <c r="BO17" i="27"/>
  <c r="AY17" i="27"/>
  <c r="BR17" i="27"/>
  <c r="BB17" i="27"/>
  <c r="BQ17" i="27"/>
  <c r="BA17" i="27"/>
  <c r="AV17" i="27"/>
  <c r="BL17" i="27"/>
  <c r="BK17" i="27"/>
  <c r="AU17" i="27"/>
  <c r="BN17" i="27"/>
  <c r="AX17" i="27"/>
  <c r="BM17" i="27"/>
  <c r="AW17" i="27"/>
  <c r="BH17" i="27"/>
  <c r="AN17" i="27"/>
  <c r="BG17" i="27"/>
  <c r="AQ17" i="27"/>
  <c r="BJ17" i="27"/>
  <c r="AT17" i="27"/>
  <c r="BI17" i="27"/>
  <c r="AS17" i="27"/>
  <c r="AR17" i="27"/>
  <c r="BP17" i="27"/>
  <c r="CR11" i="27"/>
  <c r="CR9" i="27" s="1"/>
  <c r="AD35" i="27" s="1"/>
  <c r="CQ11" i="27"/>
  <c r="CQ9" i="27" s="1"/>
  <c r="AD34" i="27" s="1"/>
  <c r="CY52" i="27"/>
  <c r="D52" i="27" s="1"/>
  <c r="CL52" i="27" s="1"/>
  <c r="DC52" i="27"/>
  <c r="BF33" i="27"/>
  <c r="AP33" i="27"/>
  <c r="AW33" i="27"/>
  <c r="BK33" i="27"/>
  <c r="AO33" i="27"/>
  <c r="BQ33" i="27"/>
  <c r="BD33" i="27"/>
  <c r="AQ33" i="27"/>
  <c r="BR33" i="27"/>
  <c r="BB33" i="27"/>
  <c r="BM33" i="27"/>
  <c r="AR33" i="27"/>
  <c r="BE33" i="27"/>
  <c r="BI33" i="27"/>
  <c r="BG33" i="27"/>
  <c r="AS33" i="27"/>
  <c r="BN33" i="27"/>
  <c r="AX33" i="27"/>
  <c r="BH33" i="27"/>
  <c r="AM33" i="27"/>
  <c r="AZ33" i="27"/>
  <c r="AY33" i="27"/>
  <c r="AV33" i="27"/>
  <c r="BL33" i="27"/>
  <c r="BJ33" i="27"/>
  <c r="AT33" i="27"/>
  <c r="BC33" i="27"/>
  <c r="BP33" i="27"/>
  <c r="AU33" i="27"/>
  <c r="AN33" i="27"/>
  <c r="BO33" i="27"/>
  <c r="BA33" i="27"/>
  <c r="CY25" i="27"/>
  <c r="D25" i="27" s="1"/>
  <c r="CL25" i="27" s="1"/>
  <c r="DC25" i="27"/>
  <c r="DK61" i="27"/>
  <c r="DL61" i="27"/>
  <c r="CY57" i="27"/>
  <c r="D57" i="27" s="1"/>
  <c r="CL57" i="27" s="1"/>
  <c r="DC57" i="27"/>
  <c r="DC23" i="27"/>
  <c r="CY23" i="27"/>
  <c r="D23" i="27" s="1"/>
  <c r="CL23" i="27" s="1"/>
  <c r="DE41" i="27"/>
  <c r="DF41" i="27"/>
  <c r="DI41" i="27"/>
  <c r="D41" i="27"/>
  <c r="CL41" i="27" s="1"/>
  <c r="BI36" i="27"/>
  <c r="AS36" i="27"/>
  <c r="BF36" i="27"/>
  <c r="BN36" i="27"/>
  <c r="AR36" i="27"/>
  <c r="AQ36" i="27"/>
  <c r="BR36" i="27"/>
  <c r="BD36" i="27"/>
  <c r="BQ36" i="27"/>
  <c r="BA36" i="27"/>
  <c r="BP36" i="27"/>
  <c r="AU36" i="27"/>
  <c r="BC36" i="27"/>
  <c r="BL36" i="27"/>
  <c r="AY36" i="27"/>
  <c r="AV36" i="27"/>
  <c r="BM36" i="27"/>
  <c r="AW36" i="27"/>
  <c r="BK36" i="27"/>
  <c r="AP36" i="27"/>
  <c r="AX36" i="27"/>
  <c r="BB36" i="27"/>
  <c r="AN36" i="27"/>
  <c r="BO36" i="27"/>
  <c r="AO36" i="27"/>
  <c r="BJ36" i="27"/>
  <c r="AZ36" i="27"/>
  <c r="BG36" i="27"/>
  <c r="BH36" i="27"/>
  <c r="AT36" i="27"/>
  <c r="BE36" i="27"/>
  <c r="AM36" i="27"/>
  <c r="DI36" i="27"/>
  <c r="DF36" i="27"/>
  <c r="DE36" i="27"/>
  <c r="DK37" i="27"/>
  <c r="DL37" i="27"/>
  <c r="A52" i="27"/>
  <c r="DF52" i="27"/>
  <c r="CY26" i="27"/>
  <c r="D26" i="27" s="1"/>
  <c r="CL26" i="27" s="1"/>
  <c r="DC26" i="27"/>
  <c r="BF26" i="27"/>
  <c r="AP26" i="27"/>
  <c r="AK26" i="27" s="1"/>
  <c r="BU26" i="27" s="1"/>
  <c r="X26" i="27" s="1"/>
  <c r="BK26" i="27"/>
  <c r="BA26" i="27"/>
  <c r="BH26" i="27"/>
  <c r="AR26" i="27"/>
  <c r="BE26" i="27"/>
  <c r="BN26" i="27"/>
  <c r="AS26" i="27"/>
  <c r="BG26" i="27"/>
  <c r="AU26" i="27"/>
  <c r="BD26" i="27"/>
  <c r="AN26" i="27"/>
  <c r="AY26" i="27"/>
  <c r="BI26" i="27"/>
  <c r="AM26" i="27"/>
  <c r="BB26" i="27"/>
  <c r="BQ26" i="27"/>
  <c r="BP26" i="27"/>
  <c r="AZ26" i="27"/>
  <c r="BO26" i="27"/>
  <c r="AT26" i="27"/>
  <c r="BC26" i="27"/>
  <c r="BR26" i="27"/>
  <c r="AW26" i="27"/>
  <c r="BL26" i="27"/>
  <c r="AV26" i="27"/>
  <c r="BJ26" i="27"/>
  <c r="AO26" i="27"/>
  <c r="AX26" i="27"/>
  <c r="BM26" i="27"/>
  <c r="AQ26" i="27"/>
  <c r="DF29" i="27"/>
  <c r="CY29" i="27"/>
  <c r="D29" i="27" s="1"/>
  <c r="CL29" i="27" s="1"/>
  <c r="DC29" i="27"/>
  <c r="A53" i="27"/>
  <c r="DC19" i="27"/>
  <c r="CY19" i="27"/>
  <c r="D19" i="27" s="1"/>
  <c r="CL19" i="27" s="1"/>
  <c r="W9" i="27"/>
  <c r="W11" i="27"/>
  <c r="T11" i="27" s="1"/>
  <c r="W10" i="27"/>
  <c r="DE44" i="27"/>
  <c r="DI44" i="27"/>
  <c r="DF44" i="27"/>
  <c r="BQ34" i="27"/>
  <c r="BA34" i="27"/>
  <c r="BN34" i="27"/>
  <c r="AR34" i="27"/>
  <c r="BF34" i="27"/>
  <c r="BL34" i="27"/>
  <c r="AY34" i="27"/>
  <c r="AV34" i="27"/>
  <c r="BI34" i="27"/>
  <c r="AS34" i="27"/>
  <c r="BC34" i="27"/>
  <c r="BP34" i="27"/>
  <c r="AU34" i="27"/>
  <c r="AQ34" i="27"/>
  <c r="BR34" i="27"/>
  <c r="AT34" i="27"/>
  <c r="BE34" i="27"/>
  <c r="AO34" i="27"/>
  <c r="AX34" i="27"/>
  <c r="BK34" i="27"/>
  <c r="AP34" i="27"/>
  <c r="BJ34" i="27"/>
  <c r="BG34" i="27"/>
  <c r="BO34" i="27"/>
  <c r="BM34" i="27"/>
  <c r="AZ34" i="27"/>
  <c r="AW34" i="27"/>
  <c r="BB34" i="27"/>
  <c r="BH34" i="27"/>
  <c r="AN34" i="27"/>
  <c r="AM34" i="27"/>
  <c r="BD34" i="27"/>
  <c r="DF18" i="27"/>
  <c r="DI18" i="27"/>
  <c r="DE18" i="27"/>
  <c r="BO54" i="27"/>
  <c r="AY54" i="27"/>
  <c r="BR54" i="27"/>
  <c r="AW54" i="27"/>
  <c r="AZ54" i="27"/>
  <c r="AX54" i="27"/>
  <c r="AT54" i="27"/>
  <c r="AV54" i="27"/>
  <c r="BG54" i="27"/>
  <c r="AQ54" i="27"/>
  <c r="BH54" i="27"/>
  <c r="BN54" i="27"/>
  <c r="BQ54" i="27"/>
  <c r="BL54" i="27"/>
  <c r="AN54" i="27"/>
  <c r="BJ54" i="27"/>
  <c r="BC54" i="27"/>
  <c r="AM54" i="27"/>
  <c r="BB54" i="27"/>
  <c r="BF54" i="27"/>
  <c r="BI54" i="27"/>
  <c r="BD54" i="27"/>
  <c r="BP54" i="27"/>
  <c r="BA54" i="27"/>
  <c r="AU54" i="27"/>
  <c r="AO54" i="27"/>
  <c r="BM54" i="27"/>
  <c r="BE54" i="27"/>
  <c r="AR54" i="27"/>
  <c r="AP54" i="27"/>
  <c r="BK54" i="27"/>
  <c r="AS54" i="27"/>
  <c r="CY22" i="27"/>
  <c r="D22" i="27" s="1"/>
  <c r="CL22" i="27" s="1"/>
  <c r="DC22" i="27"/>
  <c r="A37" i="27"/>
  <c r="BF37" i="27"/>
  <c r="AP37" i="27"/>
  <c r="BD37" i="27"/>
  <c r="AN37" i="27"/>
  <c r="AQ37" i="27"/>
  <c r="AM37" i="27"/>
  <c r="BA37" i="27"/>
  <c r="AS37" i="27"/>
  <c r="BR37" i="27"/>
  <c r="BB37" i="27"/>
  <c r="BP37" i="27"/>
  <c r="AZ37" i="27"/>
  <c r="BO37" i="27"/>
  <c r="BK37" i="27"/>
  <c r="BE37" i="27"/>
  <c r="BM37" i="27"/>
  <c r="BN37" i="27"/>
  <c r="AX37" i="27"/>
  <c r="BL37" i="27"/>
  <c r="AV37" i="27"/>
  <c r="BG37" i="27"/>
  <c r="BC37" i="27"/>
  <c r="AO37" i="27"/>
  <c r="AW37" i="27"/>
  <c r="BJ37" i="27"/>
  <c r="AT37" i="27"/>
  <c r="BH37" i="27"/>
  <c r="AR37" i="27"/>
  <c r="AY37" i="27"/>
  <c r="AU37" i="27"/>
  <c r="BQ37" i="27"/>
  <c r="BI37" i="27"/>
  <c r="A24" i="27"/>
  <c r="A40" i="27"/>
  <c r="BC40" i="27"/>
  <c r="AM40" i="27"/>
  <c r="AK40" i="27" s="1"/>
  <c r="BE40" i="27"/>
  <c r="AO40" i="27"/>
  <c r="AT40" i="27"/>
  <c r="AP40" i="27"/>
  <c r="AV40" i="27"/>
  <c r="AN40" i="27"/>
  <c r="BK40" i="27"/>
  <c r="AU40" i="27"/>
  <c r="BM40" i="27"/>
  <c r="AW40" i="27"/>
  <c r="BJ40" i="27"/>
  <c r="BF40" i="27"/>
  <c r="AZ40" i="27"/>
  <c r="AR40" i="27"/>
  <c r="AY40" i="27"/>
  <c r="BA40" i="27"/>
  <c r="BN40" i="27"/>
  <c r="BH40" i="27"/>
  <c r="AQ40" i="27"/>
  <c r="AS40" i="27"/>
  <c r="AX40" i="27"/>
  <c r="BD40" i="27"/>
  <c r="BO40" i="27"/>
  <c r="BQ40" i="27"/>
  <c r="BR40" i="27"/>
  <c r="BP40" i="27"/>
  <c r="BG40" i="27"/>
  <c r="BI40" i="27"/>
  <c r="BB40" i="27"/>
  <c r="BL40" i="27"/>
  <c r="BN28" i="27"/>
  <c r="AX28" i="27"/>
  <c r="BH28" i="27"/>
  <c r="AM28" i="27"/>
  <c r="AK28" i="27" s="1"/>
  <c r="BA28" i="27"/>
  <c r="AO28" i="27"/>
  <c r="AS28" i="27"/>
  <c r="BJ28" i="27"/>
  <c r="AT28" i="27"/>
  <c r="BC28" i="27"/>
  <c r="BQ28" i="27"/>
  <c r="AV28" i="27"/>
  <c r="BE28" i="27"/>
  <c r="BD28" i="27"/>
  <c r="BI28" i="27"/>
  <c r="BF28" i="27"/>
  <c r="AP28" i="27"/>
  <c r="AW28" i="27"/>
  <c r="BL28" i="27"/>
  <c r="AQ28" i="27"/>
  <c r="AZ28" i="27"/>
  <c r="AY28" i="27"/>
  <c r="AN28" i="27"/>
  <c r="BR28" i="27"/>
  <c r="BB28" i="27"/>
  <c r="BM28" i="27"/>
  <c r="AR28" i="27"/>
  <c r="BG28" i="27"/>
  <c r="BP28" i="27"/>
  <c r="AU28" i="27"/>
  <c r="BO28" i="27"/>
  <c r="BK28" i="27"/>
  <c r="DC30" i="27"/>
  <c r="CY30" i="27"/>
  <c r="D30" i="27" s="1"/>
  <c r="CL30" i="27" s="1"/>
  <c r="CY51" i="27"/>
  <c r="D51" i="27" s="1"/>
  <c r="CL51" i="27" s="1"/>
  <c r="DC51" i="27"/>
  <c r="BQ23" i="27"/>
  <c r="BA23" i="27"/>
  <c r="BP23" i="27"/>
  <c r="AZ23" i="27"/>
  <c r="BO23" i="27"/>
  <c r="AY23" i="27"/>
  <c r="BN23" i="27"/>
  <c r="BF23" i="27"/>
  <c r="BI23" i="27"/>
  <c r="AS23" i="27"/>
  <c r="BH23" i="27"/>
  <c r="AR23" i="27"/>
  <c r="BG23" i="27"/>
  <c r="AQ23" i="27"/>
  <c r="BJ23" i="27"/>
  <c r="BR23" i="27"/>
  <c r="BE23" i="27"/>
  <c r="AO23" i="27"/>
  <c r="BD23" i="27"/>
  <c r="AN23" i="27"/>
  <c r="BC23" i="27"/>
  <c r="AM23" i="27"/>
  <c r="AT23" i="27"/>
  <c r="BB23" i="27"/>
  <c r="AW23" i="27"/>
  <c r="AU23" i="27"/>
  <c r="BL23" i="27"/>
  <c r="AX23" i="27"/>
  <c r="AV23" i="27"/>
  <c r="AP23" i="27"/>
  <c r="BM23" i="27"/>
  <c r="BK23" i="27"/>
  <c r="DL40" i="27"/>
  <c r="DK40" i="27"/>
  <c r="A29" i="27"/>
  <c r="DL42" i="27"/>
  <c r="DK42" i="27"/>
  <c r="BE19" i="27"/>
  <c r="BD19" i="27"/>
  <c r="AM19" i="27"/>
  <c r="AX19" i="27"/>
  <c r="BQ19" i="27"/>
  <c r="BA19" i="27"/>
  <c r="BP19" i="27"/>
  <c r="AZ19" i="27"/>
  <c r="BO19" i="27"/>
  <c r="AY19" i="27"/>
  <c r="BF19" i="27"/>
  <c r="BJ19" i="27"/>
  <c r="BM19" i="27"/>
  <c r="AW19" i="27"/>
  <c r="BL19" i="27"/>
  <c r="AV19" i="27"/>
  <c r="BK19" i="27"/>
  <c r="AU19" i="27"/>
  <c r="AP19" i="27"/>
  <c r="AT19" i="27"/>
  <c r="BI19" i="27"/>
  <c r="AS19" i="27"/>
  <c r="BH19" i="27"/>
  <c r="AR19" i="27"/>
  <c r="BG19" i="27"/>
  <c r="AQ19" i="27"/>
  <c r="BR19" i="27"/>
  <c r="BN19" i="27"/>
  <c r="AO19" i="27"/>
  <c r="AN19" i="27"/>
  <c r="BC19" i="27"/>
  <c r="BB19" i="27"/>
  <c r="DL78" i="27"/>
  <c r="DK78" i="27"/>
  <c r="CS11" i="27"/>
  <c r="CS9" i="27" s="1"/>
  <c r="AD36" i="27" s="1"/>
  <c r="DF22" i="27"/>
  <c r="DK51" i="27"/>
  <c r="DL51" i="27"/>
  <c r="DF35" i="27"/>
  <c r="DK33" i="27"/>
  <c r="DL33" i="27"/>
  <c r="BS40" i="27" l="1"/>
  <c r="BU40" i="27"/>
  <c r="X40" i="27" s="1"/>
  <c r="BU47" i="27"/>
  <c r="X47" i="27" s="1"/>
  <c r="BU27" i="27"/>
  <c r="X27" i="27" s="1"/>
  <c r="BS46" i="27"/>
  <c r="BU46" i="27"/>
  <c r="X46" i="27" s="1"/>
  <c r="BS28" i="27"/>
  <c r="BU28" i="27"/>
  <c r="X28" i="27" s="1"/>
  <c r="BU41" i="27"/>
  <c r="X41" i="27"/>
  <c r="BS38" i="27"/>
  <c r="BU38" i="27"/>
  <c r="X38" i="27" s="1"/>
  <c r="BT50" i="27"/>
  <c r="BU50" i="27"/>
  <c r="X50" i="27" s="1"/>
  <c r="BS51" i="27"/>
  <c r="BU51" i="27"/>
  <c r="X51" i="27" s="1"/>
  <c r="AK23" i="27"/>
  <c r="BS23" i="27" s="1"/>
  <c r="BT40" i="27"/>
  <c r="T9" i="27"/>
  <c r="BS26" i="27"/>
  <c r="DL36" i="27"/>
  <c r="DK36" i="27"/>
  <c r="AK33" i="27"/>
  <c r="BU33" i="27" s="1"/>
  <c r="X33" i="27" s="1"/>
  <c r="BS33" i="27"/>
  <c r="AK17" i="27"/>
  <c r="BU17" i="27" s="1"/>
  <c r="X17" i="27" s="1"/>
  <c r="AK35" i="27"/>
  <c r="BS35" i="27" s="1"/>
  <c r="BT38" i="27"/>
  <c r="BS39" i="27"/>
  <c r="AD2" i="27"/>
  <c r="AK56" i="27"/>
  <c r="BU56" i="27" s="1"/>
  <c r="X56" i="27" s="1"/>
  <c r="BS56" i="27"/>
  <c r="BS41" i="27"/>
  <c r="DL19" i="27"/>
  <c r="DK19" i="27"/>
  <c r="AK21" i="27"/>
  <c r="BU21" i="27" s="1"/>
  <c r="X21" i="27" s="1"/>
  <c r="BS27" i="27"/>
  <c r="BT44" i="27"/>
  <c r="BT51" i="27"/>
  <c r="T3" i="27"/>
  <c r="BT48" i="27"/>
  <c r="BT32" i="27"/>
  <c r="A57" i="27"/>
  <c r="BT33" i="27"/>
  <c r="AK19" i="27"/>
  <c r="AK37" i="27"/>
  <c r="BS37" i="27" s="1"/>
  <c r="AK54" i="27"/>
  <c r="BU54" i="27" s="1"/>
  <c r="X54" i="27" s="1"/>
  <c r="AK34" i="27"/>
  <c r="BU34" i="27" s="1"/>
  <c r="X34" i="27" s="1"/>
  <c r="BS34" i="27"/>
  <c r="AK36" i="27"/>
  <c r="BU36" i="27" s="1"/>
  <c r="X36" i="27" s="1"/>
  <c r="BT35" i="27"/>
  <c r="DK29" i="27"/>
  <c r="DL29" i="27"/>
  <c r="DK57" i="27"/>
  <c r="DL57" i="27"/>
  <c r="BT47" i="27"/>
  <c r="BS53" i="27"/>
  <c r="DK31" i="27"/>
  <c r="DL31" i="27"/>
  <c r="BT20" i="27"/>
  <c r="DK38" i="27"/>
  <c r="DL38" i="27"/>
  <c r="A42" i="27"/>
  <c r="BT28" i="27"/>
  <c r="DL18" i="27"/>
  <c r="DK18" i="27"/>
  <c r="BS17" i="27"/>
  <c r="AK49" i="27"/>
  <c r="BU49" i="27" s="1"/>
  <c r="X49" i="27" s="1"/>
  <c r="BU39" i="27"/>
  <c r="X39" i="27" s="1"/>
  <c r="AK30" i="27"/>
  <c r="BU30" i="27" s="1"/>
  <c r="X30" i="27" s="1"/>
  <c r="BT52" i="27"/>
  <c r="BS52" i="27"/>
  <c r="AK31" i="27"/>
  <c r="BU31" i="27" s="1"/>
  <c r="X31" i="27" s="1"/>
  <c r="BS57" i="27"/>
  <c r="BU57" i="27"/>
  <c r="X57" i="27" s="1"/>
  <c r="A44" i="27"/>
  <c r="BS16" i="27"/>
  <c r="BU16" i="27"/>
  <c r="X16" i="27" s="1"/>
  <c r="BS21" i="27"/>
  <c r="AK22" i="27"/>
  <c r="BU22" i="27" s="1"/>
  <c r="X22" i="27" s="1"/>
  <c r="BT22" i="27"/>
  <c r="BT53" i="27"/>
  <c r="BS44" i="27"/>
  <c r="A56" i="27"/>
  <c r="AK29" i="27"/>
  <c r="BS29" i="27" s="1"/>
  <c r="DL43" i="27"/>
  <c r="DK43" i="27"/>
  <c r="AK42" i="27"/>
  <c r="BU42" i="27" s="1"/>
  <c r="X42" i="27" s="1"/>
  <c r="T5" i="27"/>
  <c r="BS48" i="27"/>
  <c r="AK55" i="27"/>
  <c r="BS55" i="27"/>
  <c r="A41" i="27"/>
  <c r="BT34" i="27"/>
  <c r="T10" i="27"/>
  <c r="DK44" i="27"/>
  <c r="DL44" i="27"/>
  <c r="BT26" i="27"/>
  <c r="BT36" i="27"/>
  <c r="DL41" i="27"/>
  <c r="DK41" i="27"/>
  <c r="AK43" i="27"/>
  <c r="BU43" i="27" s="1"/>
  <c r="X43" i="27" s="1"/>
  <c r="BS43" i="27"/>
  <c r="BS50" i="27"/>
  <c r="BT39" i="27"/>
  <c r="DC16" i="27"/>
  <c r="CY16" i="27"/>
  <c r="D16" i="27" s="1"/>
  <c r="CL16" i="27" s="1"/>
  <c r="A16" i="27"/>
  <c r="A46" i="27"/>
  <c r="A20" i="27"/>
  <c r="A22" i="27"/>
  <c r="A49" i="27"/>
  <c r="A48" i="27"/>
  <c r="A27" i="27"/>
  <c r="A28" i="27"/>
  <c r="A54" i="27"/>
  <c r="A30" i="27"/>
  <c r="A26" i="27"/>
  <c r="CZ16" i="27"/>
  <c r="A21" i="27"/>
  <c r="A17" i="27"/>
  <c r="D14" i="27" s="1"/>
  <c r="A35" i="27"/>
  <c r="A38" i="27"/>
  <c r="A51" i="27"/>
  <c r="DF16" i="27"/>
  <c r="A33" i="27"/>
  <c r="A31" i="27"/>
  <c r="A25" i="27"/>
  <c r="BT56" i="27"/>
  <c r="DL26" i="27"/>
  <c r="DK26" i="27"/>
  <c r="BT41" i="27"/>
  <c r="DL30" i="27"/>
  <c r="DK30" i="27"/>
  <c r="DL20" i="27"/>
  <c r="DK20" i="27"/>
  <c r="A55" i="27"/>
  <c r="BS31" i="27"/>
  <c r="DC36" i="27"/>
  <c r="CY36" i="27"/>
  <c r="D36" i="27" s="1"/>
  <c r="CL36" i="27" s="1"/>
  <c r="A36" i="27"/>
  <c r="A18" i="27"/>
  <c r="BT57" i="27"/>
  <c r="A39" i="27"/>
  <c r="AK24" i="27"/>
  <c r="BU24" i="27" s="1"/>
  <c r="X24" i="27" s="1"/>
  <c r="A34" i="27"/>
  <c r="BT16" i="27"/>
  <c r="BS47" i="27"/>
  <c r="BT21" i="27"/>
  <c r="DL27" i="27"/>
  <c r="DK27" i="27"/>
  <c r="BT27" i="27"/>
  <c r="AK25" i="27"/>
  <c r="BU25" i="27" s="1"/>
  <c r="X25" i="27" s="1"/>
  <c r="AK18" i="27"/>
  <c r="BT18" i="27" s="1"/>
  <c r="BS18" i="27"/>
  <c r="BS42" i="27"/>
  <c r="DL23" i="27"/>
  <c r="DK23" i="27"/>
  <c r="AK45" i="27"/>
  <c r="BU45" i="27" s="1"/>
  <c r="X45" i="27" s="1"/>
  <c r="T6" i="27"/>
  <c r="T4" i="27"/>
  <c r="BT46" i="27"/>
  <c r="BS20" i="27"/>
  <c r="BT55" i="27"/>
  <c r="BS32" i="27"/>
  <c r="A19" i="27"/>
  <c r="A45" i="27"/>
  <c r="J14" i="27" l="1"/>
  <c r="P14" i="27"/>
  <c r="C127" i="27"/>
  <c r="F14" i="27"/>
  <c r="B15" i="27"/>
  <c r="AE51" i="27"/>
  <c r="AF51" i="27" s="1"/>
  <c r="L14" i="27"/>
  <c r="I14" i="27"/>
  <c r="G14" i="27"/>
  <c r="K14" i="27"/>
  <c r="N14" i="27"/>
  <c r="H14" i="27"/>
  <c r="O14" i="27"/>
  <c r="M14" i="27"/>
  <c r="E14" i="27"/>
  <c r="AA6" i="27"/>
  <c r="AA10" i="27"/>
  <c r="AA12" i="27"/>
  <c r="AA11" i="27"/>
  <c r="AA3" i="27"/>
  <c r="AA7" i="27"/>
  <c r="AA9" i="27"/>
  <c r="AA5" i="27"/>
  <c r="AA8" i="27"/>
  <c r="AA4" i="27"/>
  <c r="V14" i="27"/>
  <c r="W14" i="27"/>
  <c r="Q14" i="27"/>
  <c r="BT42" i="27"/>
  <c r="BT25" i="27"/>
  <c r="BT24" i="27"/>
  <c r="BS30" i="27"/>
  <c r="BS49" i="27"/>
  <c r="BT49" i="27"/>
  <c r="BU19" i="27"/>
  <c r="X19" i="27" s="1"/>
  <c r="S14" i="27"/>
  <c r="X29" i="27"/>
  <c r="BU29" i="27"/>
  <c r="BT30" i="27"/>
  <c r="BT29" i="27"/>
  <c r="BT43" i="27"/>
  <c r="BS54" i="27"/>
  <c r="BS45" i="27"/>
  <c r="BT17" i="27"/>
  <c r="BT19" i="27"/>
  <c r="AD46" i="27"/>
  <c r="AD47" i="27"/>
  <c r="BS25" i="27"/>
  <c r="BS36" i="27"/>
  <c r="BS24" i="27"/>
  <c r="BT54" i="27"/>
  <c r="BT23" i="27"/>
  <c r="BU23" i="27"/>
  <c r="X23" i="27"/>
  <c r="X18" i="27"/>
  <c r="X14" i="27" s="1"/>
  <c r="BU18" i="27"/>
  <c r="DC85" i="27"/>
  <c r="BU55" i="27"/>
  <c r="X55" i="27" s="1"/>
  <c r="BT45" i="27"/>
  <c r="BU37" i="27"/>
  <c r="X37" i="27" s="1"/>
  <c r="BS22" i="27"/>
  <c r="BT31" i="27"/>
  <c r="BU35" i="27"/>
  <c r="X35" i="27" s="1"/>
  <c r="BT37" i="27"/>
  <c r="BS19" i="27"/>
  <c r="C14" i="27" l="1"/>
  <c r="M127" i="27"/>
  <c r="N127" i="27"/>
  <c r="L127" i="27"/>
  <c r="J127" i="27"/>
  <c r="H127" i="27"/>
  <c r="I127" i="27"/>
  <c r="F127" i="27"/>
  <c r="K127" i="27"/>
  <c r="G127" i="27"/>
  <c r="E127" i="27"/>
  <c r="DH52" i="27" s="1"/>
  <c r="AF8" i="27"/>
  <c r="AF12" i="27"/>
  <c r="AF10" i="27"/>
  <c r="AF6" i="27"/>
  <c r="AF3" i="27"/>
  <c r="AF5" i="27"/>
  <c r="AF11" i="27"/>
  <c r="AF9" i="27"/>
  <c r="AF4" i="27"/>
  <c r="AF7" i="27"/>
  <c r="DH29" i="27" l="1"/>
  <c r="DH20" i="27"/>
  <c r="AB7" i="27" s="1"/>
  <c r="DH50" i="27"/>
  <c r="DH25" i="27"/>
  <c r="AB12" i="27" s="1"/>
  <c r="DH48" i="27"/>
  <c r="DH57" i="27"/>
  <c r="DH21" i="27"/>
  <c r="AB8" i="27" s="1"/>
  <c r="DH32" i="27"/>
  <c r="AB11" i="27" s="1"/>
  <c r="DH24" i="27"/>
  <c r="DH23" i="27"/>
  <c r="AB10" i="27" s="1"/>
  <c r="DH16" i="27"/>
  <c r="AB3" i="27" s="1"/>
  <c r="DH40" i="27"/>
  <c r="DH37" i="27"/>
  <c r="DH35" i="27"/>
  <c r="DH30" i="27"/>
  <c r="DH41" i="27"/>
  <c r="DH34" i="27"/>
  <c r="DH53" i="27"/>
  <c r="DH39" i="27"/>
  <c r="DH27" i="27"/>
  <c r="DH18" i="27"/>
  <c r="AB4" i="27" s="1"/>
  <c r="DH56" i="27"/>
  <c r="DH26" i="27"/>
  <c r="DH47" i="27"/>
  <c r="DH31" i="27"/>
  <c r="DH28" i="27"/>
  <c r="DH55" i="27"/>
  <c r="DH44" i="27"/>
  <c r="DH54" i="27"/>
  <c r="DH51" i="27"/>
  <c r="DH36" i="27"/>
  <c r="DH42" i="27"/>
  <c r="DH43" i="27"/>
  <c r="DH17" i="27"/>
  <c r="AB5" i="27" s="1"/>
  <c r="DH38" i="27"/>
  <c r="DH19" i="27"/>
  <c r="AB6" i="27" s="1"/>
  <c r="DH45" i="27"/>
  <c r="DH46" i="27"/>
  <c r="DH49" i="27"/>
  <c r="DH33" i="27"/>
  <c r="DH22" i="27"/>
  <c r="AB9" i="27" s="1"/>
  <c r="BN43" i="30" l="1"/>
  <c r="BN42" i="30"/>
  <c r="BN41" i="30"/>
  <c r="BN40" i="30"/>
  <c r="BN39" i="30"/>
  <c r="BN38" i="30"/>
  <c r="BN37" i="30"/>
  <c r="BN36" i="30"/>
  <c r="BL38" i="30" l="1"/>
  <c r="BL42" i="30"/>
  <c r="BL37" i="30"/>
  <c r="BL41" i="30"/>
  <c r="BL40" i="30"/>
  <c r="BL39" i="30"/>
  <c r="BL43" i="30"/>
  <c r="BM36" i="30"/>
  <c r="BM40" i="30"/>
  <c r="BM37" i="30"/>
  <c r="BM41" i="30"/>
  <c r="BM38" i="30"/>
  <c r="BM42" i="30"/>
  <c r="BM39" i="30"/>
  <c r="BM43" i="30"/>
  <c r="BR36" i="30"/>
  <c r="BT37" i="30"/>
  <c r="BS37" i="30"/>
  <c r="BR37" i="30"/>
  <c r="BQ37" i="30"/>
  <c r="BP37" i="30"/>
  <c r="BO37" i="30"/>
  <c r="BR38" i="30"/>
  <c r="BT39" i="30"/>
  <c r="BS39" i="30"/>
  <c r="BR39" i="30"/>
  <c r="BQ39" i="30"/>
  <c r="BP39" i="30"/>
  <c r="BO39" i="30"/>
  <c r="BT40" i="30"/>
  <c r="BS40" i="30"/>
  <c r="BR40" i="30"/>
  <c r="BQ40" i="30"/>
  <c r="BP40" i="30"/>
  <c r="BO40" i="30"/>
  <c r="BT41" i="30"/>
  <c r="BS41" i="30"/>
  <c r="BR41" i="30"/>
  <c r="BQ41" i="30"/>
  <c r="BP41" i="30"/>
  <c r="BO41" i="30"/>
  <c r="BT42" i="30"/>
  <c r="BS42" i="30"/>
  <c r="BR42" i="30"/>
  <c r="BQ42" i="30"/>
  <c r="BP42" i="30"/>
  <c r="BO42" i="30"/>
  <c r="BT43" i="30"/>
  <c r="BS43" i="30"/>
  <c r="BR43" i="30"/>
  <c r="BQ43" i="30"/>
  <c r="BP43" i="30"/>
  <c r="BO43" i="30"/>
  <c r="BO38" i="30" l="1"/>
  <c r="BS38" i="30"/>
  <c r="BO36" i="30"/>
  <c r="BS36" i="30"/>
  <c r="BP38" i="30"/>
  <c r="BT38" i="30"/>
  <c r="BP36" i="30"/>
  <c r="BT36" i="30"/>
  <c r="BQ38" i="30"/>
  <c r="BQ36" i="30"/>
  <c r="C174" i="26"/>
  <c r="F171" i="26"/>
  <c r="F169" i="26"/>
  <c r="F167" i="26"/>
  <c r="F168" i="26"/>
  <c r="F166" i="26"/>
  <c r="F165" i="26"/>
  <c r="M165" i="26"/>
  <c r="H169" i="26"/>
  <c r="L169" i="26"/>
  <c r="J169" i="26"/>
  <c r="L172" i="26"/>
  <c r="J171" i="26"/>
  <c r="H168" i="26"/>
  <c r="J172" i="26"/>
  <c r="H171" i="26"/>
  <c r="J168" i="26"/>
  <c r="H167" i="26"/>
  <c r="I172" i="26"/>
  <c r="I170" i="26"/>
  <c r="M170" i="26"/>
  <c r="M168" i="26"/>
  <c r="M166" i="26"/>
  <c r="J166" i="26"/>
  <c r="J170" i="26"/>
  <c r="K172" i="26"/>
  <c r="K170" i="26"/>
  <c r="K168" i="26"/>
  <c r="L166" i="26"/>
  <c r="L170" i="26"/>
  <c r="H166" i="26"/>
  <c r="I171" i="26"/>
  <c r="M171" i="26"/>
  <c r="I169" i="26"/>
  <c r="M167" i="26"/>
  <c r="K171" i="26"/>
  <c r="K167" i="26"/>
  <c r="G172" i="26"/>
  <c r="G171" i="26"/>
  <c r="G170" i="26"/>
  <c r="G169" i="26"/>
  <c r="G168" i="26"/>
  <c r="G167" i="26"/>
  <c r="G166" i="26"/>
  <c r="G165" i="26"/>
  <c r="L167" i="26" l="1"/>
  <c r="I167" i="26"/>
  <c r="J167" i="26"/>
  <c r="F170" i="26"/>
  <c r="H172" i="26"/>
  <c r="F172" i="26"/>
  <c r="H165" i="26"/>
  <c r="J165" i="26"/>
  <c r="L165" i="26"/>
  <c r="I165" i="26"/>
  <c r="K165" i="26"/>
  <c r="L168" i="26"/>
  <c r="M169" i="26"/>
  <c r="I166" i="26"/>
  <c r="L171" i="26"/>
  <c r="M172" i="26"/>
  <c r="I168" i="26"/>
  <c r="H170" i="26"/>
  <c r="K166" i="26"/>
  <c r="K169" i="26"/>
  <c r="E166" i="26"/>
  <c r="E167" i="26"/>
  <c r="E168" i="26"/>
  <c r="E169" i="26"/>
  <c r="E170" i="26"/>
  <c r="E171" i="26"/>
  <c r="E172" i="26"/>
  <c r="BM32" i="30" l="1"/>
  <c r="BM31" i="30"/>
  <c r="C48" i="26" l="1"/>
  <c r="C28" i="26"/>
  <c r="C71" i="26" l="1"/>
  <c r="C91" i="26"/>
  <c r="C112" i="26" l="1"/>
  <c r="BN10" i="30"/>
  <c r="BN9" i="30"/>
  <c r="BN8" i="30"/>
  <c r="BN7" i="30"/>
  <c r="BN6" i="30"/>
  <c r="BN5" i="30"/>
  <c r="BN4" i="30"/>
  <c r="BN3" i="30"/>
  <c r="BL9" i="30" l="1"/>
  <c r="BL5" i="30"/>
  <c r="BL7" i="30"/>
  <c r="BL4" i="30"/>
  <c r="BL8" i="30"/>
  <c r="BL6" i="30"/>
  <c r="BT6" i="30"/>
  <c r="BT4" i="30"/>
  <c r="BT5" i="30"/>
  <c r="BT3" i="30"/>
  <c r="BS3" i="30"/>
  <c r="BR3" i="30"/>
  <c r="BQ3" i="30"/>
  <c r="BP3" i="30"/>
  <c r="BO3" i="30"/>
  <c r="BM3" i="30"/>
  <c r="BS4" i="30"/>
  <c r="BR4" i="30"/>
  <c r="BQ4" i="30"/>
  <c r="BP4" i="30"/>
  <c r="BO4" i="30"/>
  <c r="BM4" i="30"/>
  <c r="BS5" i="30"/>
  <c r="BR5" i="30"/>
  <c r="BQ5" i="30"/>
  <c r="BP5" i="30"/>
  <c r="BO5" i="30"/>
  <c r="BM5" i="30"/>
  <c r="BS6" i="30"/>
  <c r="BR6" i="30"/>
  <c r="BQ6" i="30"/>
  <c r="BP6" i="30"/>
  <c r="BO6" i="30"/>
  <c r="BM6" i="30"/>
  <c r="BT7" i="30"/>
  <c r="BS7" i="30"/>
  <c r="BR7" i="30"/>
  <c r="BQ7" i="30"/>
  <c r="BP7" i="30"/>
  <c r="BO7" i="30"/>
  <c r="BM7" i="30"/>
  <c r="BT8" i="30"/>
  <c r="BS8" i="30"/>
  <c r="BR8" i="30"/>
  <c r="BQ8" i="30"/>
  <c r="BP8" i="30"/>
  <c r="BO8" i="30"/>
  <c r="BM8" i="30"/>
  <c r="BT9" i="30"/>
  <c r="BS9" i="30"/>
  <c r="BR9" i="30"/>
  <c r="BQ9" i="30"/>
  <c r="BP9" i="30"/>
  <c r="BO9" i="30"/>
  <c r="BM9" i="30"/>
  <c r="BT10" i="30"/>
  <c r="BS10" i="30"/>
  <c r="BR10" i="30"/>
  <c r="BQ10" i="30"/>
  <c r="BP10" i="30"/>
  <c r="BO10" i="30"/>
  <c r="G219" i="26" l="1"/>
  <c r="K225" i="26" l="1"/>
  <c r="K224" i="26"/>
  <c r="H225" i="26"/>
  <c r="H224" i="26"/>
  <c r="H204" i="26"/>
  <c r="K188" i="26"/>
  <c r="K204" i="26"/>
  <c r="K215" i="26"/>
  <c r="H185" i="26"/>
  <c r="K185" i="26"/>
  <c r="K223" i="26"/>
  <c r="K186" i="26"/>
  <c r="K187" i="26"/>
  <c r="K200" i="26"/>
  <c r="H211" i="26"/>
  <c r="K205" i="26"/>
  <c r="K212" i="26"/>
  <c r="H190" i="26"/>
  <c r="H186" i="26"/>
  <c r="K206" i="26"/>
  <c r="K220" i="26"/>
  <c r="K197" i="26"/>
  <c r="H200" i="26"/>
  <c r="K189" i="26"/>
  <c r="K194" i="26"/>
  <c r="K207" i="26"/>
  <c r="K221" i="26"/>
  <c r="K193" i="26"/>
  <c r="H195" i="26"/>
  <c r="K198" i="26"/>
  <c r="K201" i="26"/>
  <c r="K214" i="26"/>
  <c r="K190" i="26"/>
  <c r="K213" i="26"/>
  <c r="K209" i="26"/>
  <c r="K203" i="26"/>
  <c r="K195" i="26"/>
  <c r="K211" i="26"/>
  <c r="K191" i="26"/>
  <c r="K199" i="26"/>
  <c r="K208" i="26"/>
  <c r="K202" i="26"/>
  <c r="K210" i="26"/>
  <c r="H201" i="26"/>
  <c r="H199" i="26"/>
  <c r="H184" i="26"/>
  <c r="H196" i="26"/>
  <c r="H202" i="26"/>
  <c r="H214" i="26"/>
  <c r="H210" i="26"/>
  <c r="H213" i="26"/>
  <c r="H223" i="26"/>
  <c r="H209" i="26"/>
  <c r="H193" i="26"/>
  <c r="H189" i="26"/>
  <c r="H220" i="26"/>
  <c r="H194" i="26"/>
  <c r="H197" i="26"/>
  <c r="H191" i="26"/>
  <c r="H208" i="26"/>
  <c r="H205" i="26"/>
  <c r="H192" i="26"/>
  <c r="H203" i="26"/>
  <c r="H215" i="26"/>
  <c r="H207" i="26"/>
  <c r="H188" i="26"/>
  <c r="H198" i="26"/>
  <c r="H218" i="26"/>
  <c r="H212" i="26"/>
  <c r="H221" i="26"/>
  <c r="H187" i="26"/>
  <c r="K196" i="26"/>
  <c r="H206" i="26"/>
  <c r="K219" i="26"/>
  <c r="H219" i="26"/>
  <c r="H216" i="26"/>
  <c r="K217" i="26"/>
  <c r="H217" i="26"/>
  <c r="K216" i="26"/>
  <c r="K222" i="26"/>
  <c r="H222" i="26"/>
  <c r="K192" i="26"/>
  <c r="K184" i="26"/>
  <c r="K218" i="26"/>
  <c r="F131" i="26" l="1"/>
  <c r="F130" i="26"/>
  <c r="M46" i="26" l="1"/>
  <c r="L46" i="26"/>
  <c r="K46" i="26"/>
  <c r="J46" i="26"/>
  <c r="I46" i="26"/>
  <c r="H46" i="26"/>
  <c r="G46" i="26"/>
  <c r="M45" i="26"/>
  <c r="L45" i="26"/>
  <c r="K45" i="26"/>
  <c r="J45" i="26"/>
  <c r="I45" i="26"/>
  <c r="H45" i="26"/>
  <c r="G45" i="26"/>
  <c r="F45" i="26"/>
  <c r="E45" i="26"/>
  <c r="M44" i="26"/>
  <c r="L44" i="26"/>
  <c r="K44" i="26"/>
  <c r="J44" i="26"/>
  <c r="I44" i="26"/>
  <c r="H44" i="26"/>
  <c r="G44" i="26"/>
  <c r="F44" i="26"/>
  <c r="E44" i="26"/>
  <c r="M43" i="26"/>
  <c r="L43" i="26"/>
  <c r="K43" i="26"/>
  <c r="J43" i="26"/>
  <c r="I43" i="26"/>
  <c r="H43" i="26"/>
  <c r="G43" i="26"/>
  <c r="F43" i="26"/>
  <c r="E43" i="26"/>
  <c r="M42" i="26"/>
  <c r="L42" i="26"/>
  <c r="K42" i="26"/>
  <c r="J42" i="26"/>
  <c r="I42" i="26"/>
  <c r="H42" i="26"/>
  <c r="G42" i="26"/>
  <c r="F42" i="26"/>
  <c r="E42" i="26"/>
  <c r="M41" i="26"/>
  <c r="L41" i="26"/>
  <c r="K41" i="26"/>
  <c r="J41" i="26"/>
  <c r="I41" i="26"/>
  <c r="H41" i="26"/>
  <c r="G41" i="26"/>
  <c r="F41" i="26"/>
  <c r="E41" i="26"/>
  <c r="M40" i="26"/>
  <c r="L40" i="26"/>
  <c r="K40" i="26"/>
  <c r="J40" i="26"/>
  <c r="I40" i="26"/>
  <c r="H40" i="26"/>
  <c r="G40" i="26"/>
  <c r="F40" i="26"/>
  <c r="E40" i="26"/>
  <c r="M39" i="26"/>
  <c r="L39" i="26"/>
  <c r="K39" i="26"/>
  <c r="J39" i="26"/>
  <c r="I39" i="26"/>
  <c r="H39" i="26"/>
  <c r="G39" i="26"/>
  <c r="F39" i="26"/>
  <c r="E13" i="26" l="1"/>
  <c r="E14" i="26" l="1"/>
  <c r="E15" i="26" l="1"/>
  <c r="Z62" i="27" l="1"/>
  <c r="AA62" i="27" s="1"/>
  <c r="AD62" i="27" s="1"/>
  <c r="Z64" i="27"/>
  <c r="AA64" i="27" s="1"/>
  <c r="AD64" i="27" s="1"/>
  <c r="Z57" i="27"/>
  <c r="AA57" i="27" s="1"/>
  <c r="AD57" i="27" s="1"/>
  <c r="Z60" i="27"/>
  <c r="AA60" i="27" s="1"/>
  <c r="AD60" i="27" s="1"/>
  <c r="Z59" i="27"/>
  <c r="AA59" i="27" s="1"/>
  <c r="AD59" i="27" s="1"/>
  <c r="Z65" i="27"/>
  <c r="AA65" i="27" s="1"/>
  <c r="AD65" i="27" s="1"/>
  <c r="Z61" i="27"/>
  <c r="AA61" i="27" s="1"/>
  <c r="AD61" i="27" s="1"/>
  <c r="Z56" i="27"/>
  <c r="AA56" i="27" s="1"/>
  <c r="AD56" i="27" s="1"/>
  <c r="Z63" i="27"/>
  <c r="AA63" i="27" s="1"/>
  <c r="AD63" i="27" s="1"/>
  <c r="Z58" i="27"/>
  <c r="AA58" i="27" s="1"/>
  <c r="AD58" i="27" s="1"/>
  <c r="BX2" i="30"/>
  <c r="BW10" i="30" l="1"/>
  <c r="BW3" i="30"/>
  <c r="BW9" i="30"/>
  <c r="BW5" i="30"/>
  <c r="BW6" i="30"/>
  <c r="BW8" i="30"/>
  <c r="BW4" i="30"/>
  <c r="BW7" i="30"/>
  <c r="BM10" i="30" l="1"/>
  <c r="BL10" i="30" s="1"/>
  <c r="F46" i="26" l="1"/>
  <c r="E46" i="26" l="1"/>
  <c r="G221" i="26" l="1"/>
  <c r="G223" i="26"/>
  <c r="G224" i="26" l="1"/>
  <c r="G225" i="26"/>
  <c r="G222" i="26"/>
  <c r="G197" i="26"/>
  <c r="G205" i="26"/>
  <c r="G199" i="26"/>
  <c r="G194" i="26"/>
  <c r="G217" i="26"/>
  <c r="G208" i="26"/>
  <c r="G192" i="26"/>
  <c r="G203" i="26"/>
  <c r="G216" i="26"/>
  <c r="G189" i="26"/>
  <c r="G213" i="26"/>
  <c r="G186" i="26"/>
  <c r="G196" i="26"/>
  <c r="G201" i="26"/>
  <c r="G191" i="26"/>
  <c r="G190" i="26"/>
  <c r="G195" i="26"/>
  <c r="G202" i="26"/>
  <c r="G212" i="26"/>
  <c r="G193" i="26"/>
  <c r="G198" i="26"/>
  <c r="G214" i="26"/>
  <c r="G210" i="26"/>
  <c r="G184" i="26"/>
  <c r="G207" i="26"/>
  <c r="G188" i="26"/>
  <c r="G209" i="26"/>
  <c r="G185" i="26"/>
  <c r="G204" i="26"/>
  <c r="G206" i="26"/>
  <c r="G200" i="26"/>
  <c r="G218" i="26"/>
  <c r="G187" i="26"/>
  <c r="G220" i="26"/>
  <c r="G215" i="26"/>
  <c r="G211" i="26"/>
  <c r="AI16" i="27" l="1"/>
  <c r="A15" i="26"/>
  <c r="A14" i="26"/>
  <c r="A13" i="26"/>
  <c r="AI25" i="27"/>
  <c r="AI24" i="27"/>
  <c r="AI22" i="27"/>
  <c r="AI21" i="27"/>
  <c r="AI20" i="27"/>
  <c r="AI19" i="27"/>
  <c r="AI18" i="27"/>
  <c r="AI17" i="27"/>
  <c r="AI23" i="27"/>
  <c r="AH23" i="27" l="1"/>
  <c r="AH16" i="27"/>
  <c r="AH17" i="27"/>
  <c r="AH18" i="27"/>
  <c r="AH19" i="27"/>
  <c r="AH20" i="27"/>
  <c r="AH21" i="27"/>
  <c r="AH22" i="27"/>
  <c r="AH24" i="27"/>
  <c r="AH25" i="27"/>
  <c r="BD10" i="30" l="1"/>
  <c r="BD32" i="30"/>
  <c r="BD31" i="30"/>
  <c r="BD30" i="30"/>
  <c r="BD29" i="30"/>
  <c r="BD28" i="30"/>
  <c r="BD27" i="30"/>
  <c r="BD26" i="30"/>
  <c r="BD25" i="30"/>
  <c r="BN21" i="30"/>
  <c r="BN20" i="30"/>
  <c r="BN19" i="30"/>
  <c r="BN18" i="30"/>
  <c r="BN17" i="30"/>
  <c r="BN16" i="30"/>
  <c r="BN15" i="30"/>
  <c r="BN14" i="30"/>
  <c r="BD21" i="30"/>
  <c r="BD20" i="30"/>
  <c r="BD19" i="30"/>
  <c r="BD18" i="30"/>
  <c r="BD17" i="30"/>
  <c r="BD16" i="30"/>
  <c r="BD15" i="30"/>
  <c r="BD14" i="30"/>
  <c r="BD3" i="30"/>
  <c r="BD4" i="30"/>
  <c r="BD5" i="30"/>
  <c r="BD6" i="30"/>
  <c r="BB6" i="30" s="1"/>
  <c r="BD7" i="30"/>
  <c r="BD8" i="30"/>
  <c r="BD9" i="30"/>
  <c r="BB8" i="30" l="1"/>
  <c r="BL18" i="30"/>
  <c r="BB4" i="30"/>
  <c r="BB20" i="30"/>
  <c r="BL16" i="30"/>
  <c r="BL20" i="30"/>
  <c r="BB27" i="30"/>
  <c r="BB31" i="30"/>
  <c r="BB16" i="30"/>
  <c r="BB18" i="30"/>
  <c r="BB29" i="30"/>
  <c r="BB7" i="30"/>
  <c r="BB9" i="30"/>
  <c r="BB5" i="30"/>
  <c r="BB15" i="30"/>
  <c r="BB19" i="30"/>
  <c r="BL15" i="30"/>
  <c r="BL19" i="30"/>
  <c r="BB26" i="30"/>
  <c r="BB30" i="30"/>
  <c r="BB10" i="30"/>
  <c r="BB17" i="30"/>
  <c r="BL17" i="30"/>
  <c r="BB28" i="30"/>
  <c r="BB32" i="30"/>
  <c r="BH10" i="30"/>
  <c r="BC3" i="30"/>
  <c r="C133" i="26"/>
  <c r="BE10" i="30"/>
  <c r="BI10" i="30"/>
  <c r="BF10" i="30"/>
  <c r="BJ10" i="30"/>
  <c r="BG10" i="30"/>
  <c r="BC10" i="30"/>
  <c r="BJ20" i="30"/>
  <c r="BJ17" i="30"/>
  <c r="BJ18" i="30"/>
  <c r="BJ19" i="30"/>
  <c r="BJ14" i="30"/>
  <c r="BJ15" i="30"/>
  <c r="BJ16" i="30"/>
  <c r="BJ9" i="30"/>
  <c r="BI9" i="30"/>
  <c r="BH9" i="30"/>
  <c r="BG9" i="30"/>
  <c r="BF9" i="30"/>
  <c r="BE9" i="30"/>
  <c r="BC9" i="30"/>
  <c r="BJ8" i="30"/>
  <c r="BI8" i="30"/>
  <c r="BH8" i="30"/>
  <c r="BG8" i="30"/>
  <c r="BF8" i="30"/>
  <c r="BE8" i="30"/>
  <c r="BC8" i="30"/>
  <c r="BJ7" i="30"/>
  <c r="BI7" i="30"/>
  <c r="BH7" i="30"/>
  <c r="BG7" i="30"/>
  <c r="BF7" i="30"/>
  <c r="BE7" i="30"/>
  <c r="BC7" i="30"/>
  <c r="BJ6" i="30"/>
  <c r="BI6" i="30"/>
  <c r="BH6" i="30"/>
  <c r="BG6" i="30"/>
  <c r="BF6" i="30"/>
  <c r="BE6" i="30"/>
  <c r="BC6" i="30"/>
  <c r="BJ5" i="30"/>
  <c r="BI5" i="30"/>
  <c r="BH5" i="30"/>
  <c r="BG5" i="30"/>
  <c r="BF5" i="30"/>
  <c r="BE5" i="30"/>
  <c r="BC5" i="30"/>
  <c r="BJ4" i="30"/>
  <c r="BI4" i="30"/>
  <c r="BH4" i="30"/>
  <c r="BG4" i="30"/>
  <c r="BF4" i="30"/>
  <c r="BE4" i="30"/>
  <c r="BC4" i="30"/>
  <c r="BJ3" i="30"/>
  <c r="BI3" i="30"/>
  <c r="BH3" i="30"/>
  <c r="BG3" i="30"/>
  <c r="BF3" i="30"/>
  <c r="BE3" i="30"/>
  <c r="BI14" i="30"/>
  <c r="BH14" i="30"/>
  <c r="BG14" i="30"/>
  <c r="BF14" i="30"/>
  <c r="BE14" i="30"/>
  <c r="BC14" i="30"/>
  <c r="BI15" i="30"/>
  <c r="BH15" i="30"/>
  <c r="BG15" i="30"/>
  <c r="BF15" i="30"/>
  <c r="BE15" i="30"/>
  <c r="BC15" i="30"/>
  <c r="BI16" i="30"/>
  <c r="BH16" i="30"/>
  <c r="BG16" i="30"/>
  <c r="BF16" i="30"/>
  <c r="BE16" i="30"/>
  <c r="BC16" i="30"/>
  <c r="BI17" i="30"/>
  <c r="BH17" i="30"/>
  <c r="BG17" i="30"/>
  <c r="BF17" i="30"/>
  <c r="BE17" i="30"/>
  <c r="BC17" i="30"/>
  <c r="BI18" i="30"/>
  <c r="BH18" i="30"/>
  <c r="BG18" i="30"/>
  <c r="BF18" i="30"/>
  <c r="BE18" i="30"/>
  <c r="BC18" i="30"/>
  <c r="BI19" i="30"/>
  <c r="BH19" i="30"/>
  <c r="BG19" i="30"/>
  <c r="BF19" i="30"/>
  <c r="BE19" i="30"/>
  <c r="BC19" i="30"/>
  <c r="BI20" i="30"/>
  <c r="BH20" i="30"/>
  <c r="BG20" i="30"/>
  <c r="BF20" i="30"/>
  <c r="BE20" i="30"/>
  <c r="BC20" i="30"/>
  <c r="BJ21" i="30"/>
  <c r="BI21" i="30"/>
  <c r="BH21" i="30"/>
  <c r="BG21" i="30"/>
  <c r="BF21" i="30"/>
  <c r="BE21" i="30"/>
  <c r="BC21" i="30"/>
  <c r="BB21" i="30" s="1"/>
  <c r="BT14" i="30"/>
  <c r="BS14" i="30"/>
  <c r="BR14" i="30"/>
  <c r="BQ14" i="30"/>
  <c r="BP14" i="30"/>
  <c r="BO14" i="30"/>
  <c r="BM14" i="30"/>
  <c r="BT15" i="30"/>
  <c r="BS15" i="30"/>
  <c r="BR15" i="30"/>
  <c r="BQ15" i="30"/>
  <c r="BP15" i="30"/>
  <c r="BO15" i="30"/>
  <c r="BM15" i="30"/>
  <c r="BT16" i="30"/>
  <c r="BS16" i="30"/>
  <c r="BR16" i="30"/>
  <c r="BQ16" i="30"/>
  <c r="BP16" i="30"/>
  <c r="BO16" i="30"/>
  <c r="BM16" i="30"/>
  <c r="BT17" i="30"/>
  <c r="BS17" i="30"/>
  <c r="BR17" i="30"/>
  <c r="BQ17" i="30"/>
  <c r="BP17" i="30"/>
  <c r="BO17" i="30"/>
  <c r="BM17" i="30"/>
  <c r="BT18" i="30"/>
  <c r="BS18" i="30"/>
  <c r="BR18" i="30"/>
  <c r="BQ18" i="30"/>
  <c r="BP18" i="30"/>
  <c r="BO18" i="30"/>
  <c r="BM18" i="30"/>
  <c r="BT19" i="30"/>
  <c r="BS19" i="30"/>
  <c r="BR19" i="30"/>
  <c r="BQ19" i="30"/>
  <c r="BP19" i="30"/>
  <c r="BO19" i="30"/>
  <c r="BM19" i="30"/>
  <c r="BT20" i="30"/>
  <c r="BS20" i="30"/>
  <c r="BR20" i="30"/>
  <c r="BQ20" i="30"/>
  <c r="BP20" i="30"/>
  <c r="BO20" i="30"/>
  <c r="BM20" i="30"/>
  <c r="BT21" i="30"/>
  <c r="BS21" i="30"/>
  <c r="BR21" i="30"/>
  <c r="BQ21" i="30"/>
  <c r="BP21" i="30"/>
  <c r="BO21" i="30"/>
  <c r="BM21" i="30"/>
  <c r="BL21" i="30" s="1"/>
  <c r="BJ25" i="30"/>
  <c r="BI25" i="30"/>
  <c r="BH25" i="30"/>
  <c r="BG25" i="30"/>
  <c r="BF25" i="30"/>
  <c r="BE25" i="30"/>
  <c r="BC25" i="30"/>
  <c r="BJ26" i="30"/>
  <c r="BI26" i="30"/>
  <c r="BH26" i="30"/>
  <c r="BG26" i="30"/>
  <c r="BF26" i="30"/>
  <c r="BE26" i="30"/>
  <c r="BC26" i="30"/>
  <c r="BJ27" i="30"/>
  <c r="BI27" i="30"/>
  <c r="BH27" i="30"/>
  <c r="BG27" i="30"/>
  <c r="BF27" i="30"/>
  <c r="BE27" i="30"/>
  <c r="BC27" i="30"/>
  <c r="BJ28" i="30"/>
  <c r="BI28" i="30"/>
  <c r="BH28" i="30"/>
  <c r="BG28" i="30"/>
  <c r="BF28" i="30"/>
  <c r="BE28" i="30"/>
  <c r="BC28" i="30"/>
  <c r="BJ29" i="30"/>
  <c r="BI29" i="30"/>
  <c r="BH29" i="30"/>
  <c r="BG29" i="30"/>
  <c r="BF29" i="30"/>
  <c r="BE29" i="30"/>
  <c r="BC29" i="30"/>
  <c r="BJ30" i="30"/>
  <c r="BI30" i="30"/>
  <c r="BH30" i="30"/>
  <c r="BG30" i="30"/>
  <c r="BF30" i="30"/>
  <c r="BE30" i="30"/>
  <c r="BC30" i="30"/>
  <c r="BJ31" i="30"/>
  <c r="BI31" i="30"/>
  <c r="BH31" i="30"/>
  <c r="BG31" i="30"/>
  <c r="BF31" i="30"/>
  <c r="BE31" i="30"/>
  <c r="BC31" i="30"/>
  <c r="BJ32" i="30"/>
  <c r="BI32" i="30"/>
  <c r="BH32" i="30"/>
  <c r="BG32" i="30"/>
  <c r="BF32" i="30"/>
  <c r="BE32" i="30"/>
  <c r="BC32" i="30"/>
  <c r="H105" i="26" l="1"/>
  <c r="K85" i="26"/>
  <c r="F107" i="26"/>
  <c r="M105" i="26"/>
  <c r="K88" i="26"/>
  <c r="I20" i="26"/>
  <c r="F22" i="26"/>
  <c r="I108" i="26"/>
  <c r="J105" i="26"/>
  <c r="K60" i="26"/>
  <c r="H22" i="26"/>
  <c r="J24" i="26"/>
  <c r="I87" i="26"/>
  <c r="L64" i="26"/>
  <c r="L106" i="26"/>
  <c r="J103" i="26"/>
  <c r="H87" i="26"/>
  <c r="J85" i="26"/>
  <c r="L83" i="26"/>
  <c r="K65" i="26"/>
  <c r="K61" i="26"/>
  <c r="H23" i="26"/>
  <c r="F108" i="26"/>
  <c r="L65" i="26"/>
  <c r="C154" i="26"/>
  <c r="I25" i="26"/>
  <c r="G25" i="26"/>
  <c r="M25" i="26"/>
  <c r="J25" i="26"/>
  <c r="BV17" i="30"/>
  <c r="BN30" i="30"/>
  <c r="BN26" i="30"/>
  <c r="BN32" i="30"/>
  <c r="BN29" i="30"/>
  <c r="BN25" i="30"/>
  <c r="BN28" i="30"/>
  <c r="BN31" i="30"/>
  <c r="BN27" i="30"/>
  <c r="I110" i="26"/>
  <c r="J110" i="26"/>
  <c r="K110" i="26"/>
  <c r="L110" i="26"/>
  <c r="M110" i="26"/>
  <c r="F109" i="26"/>
  <c r="H109" i="26"/>
  <c r="I109" i="26"/>
  <c r="J109" i="26"/>
  <c r="K109" i="26"/>
  <c r="L109" i="26"/>
  <c r="M109" i="26"/>
  <c r="H108" i="26"/>
  <c r="K108" i="26"/>
  <c r="L108" i="26"/>
  <c r="M108" i="26"/>
  <c r="H107" i="26"/>
  <c r="I107" i="26"/>
  <c r="J107" i="26"/>
  <c r="K107" i="26"/>
  <c r="L107" i="26"/>
  <c r="M107" i="26"/>
  <c r="F106" i="26"/>
  <c r="H106" i="26"/>
  <c r="I106" i="26"/>
  <c r="J106" i="26"/>
  <c r="K106" i="26"/>
  <c r="M106" i="26"/>
  <c r="F105" i="26"/>
  <c r="I105" i="26"/>
  <c r="K105" i="26"/>
  <c r="L105" i="26"/>
  <c r="F104" i="26"/>
  <c r="H104" i="26"/>
  <c r="I104" i="26"/>
  <c r="J104" i="26"/>
  <c r="L104" i="26"/>
  <c r="M104" i="26"/>
  <c r="G103" i="26"/>
  <c r="F103" i="26"/>
  <c r="H103" i="26"/>
  <c r="I103" i="26"/>
  <c r="L103" i="26"/>
  <c r="G89" i="26"/>
  <c r="H89" i="26"/>
  <c r="I89" i="26"/>
  <c r="J89" i="26"/>
  <c r="K89" i="26"/>
  <c r="L89" i="26"/>
  <c r="M89" i="26"/>
  <c r="F88" i="26"/>
  <c r="H88" i="26"/>
  <c r="I88" i="26"/>
  <c r="J88" i="26"/>
  <c r="M88" i="26"/>
  <c r="F87" i="26"/>
  <c r="J87" i="26"/>
  <c r="K87" i="26"/>
  <c r="L87" i="26"/>
  <c r="M87" i="26"/>
  <c r="F86" i="26"/>
  <c r="H86" i="26"/>
  <c r="I86" i="26"/>
  <c r="J86" i="26"/>
  <c r="K86" i="26"/>
  <c r="L86" i="26"/>
  <c r="M86" i="26"/>
  <c r="F85" i="26"/>
  <c r="I85" i="26"/>
  <c r="L85" i="26"/>
  <c r="M85" i="26"/>
  <c r="F84" i="26"/>
  <c r="H84" i="26"/>
  <c r="I84" i="26"/>
  <c r="J84" i="26"/>
  <c r="K84" i="26"/>
  <c r="L84" i="26"/>
  <c r="M84" i="26"/>
  <c r="F83" i="26"/>
  <c r="H83" i="26"/>
  <c r="I83" i="26"/>
  <c r="K83" i="26"/>
  <c r="M83" i="26"/>
  <c r="G82" i="26"/>
  <c r="F82" i="26"/>
  <c r="H82" i="26"/>
  <c r="J82" i="26"/>
  <c r="K82" i="26"/>
  <c r="L82" i="26"/>
  <c r="M82" i="26"/>
  <c r="G67" i="26"/>
  <c r="H67" i="26"/>
  <c r="I67" i="26"/>
  <c r="J67" i="26"/>
  <c r="L67" i="26"/>
  <c r="M67" i="26"/>
  <c r="F66" i="26"/>
  <c r="H66" i="26"/>
  <c r="I66" i="26"/>
  <c r="J66" i="26"/>
  <c r="K66" i="26"/>
  <c r="L66" i="26"/>
  <c r="M66" i="26"/>
  <c r="F65" i="26"/>
  <c r="H65" i="26"/>
  <c r="J65" i="26"/>
  <c r="M65" i="26"/>
  <c r="F64" i="26"/>
  <c r="H64" i="26"/>
  <c r="I64" i="26"/>
  <c r="J64" i="26"/>
  <c r="K64" i="26"/>
  <c r="M64" i="26"/>
  <c r="F63" i="26"/>
  <c r="H63" i="26"/>
  <c r="I63" i="26"/>
  <c r="L63" i="26"/>
  <c r="M63" i="26"/>
  <c r="F62" i="26"/>
  <c r="H62" i="26"/>
  <c r="I62" i="26"/>
  <c r="J62" i="26"/>
  <c r="K62" i="26"/>
  <c r="L62" i="26"/>
  <c r="M62" i="26"/>
  <c r="F61" i="26"/>
  <c r="H61" i="26"/>
  <c r="J61" i="26"/>
  <c r="L61" i="26"/>
  <c r="M61" i="26"/>
  <c r="G60" i="26"/>
  <c r="F60" i="26"/>
  <c r="H60" i="26"/>
  <c r="I60" i="26"/>
  <c r="J60" i="26"/>
  <c r="L60" i="26"/>
  <c r="M60" i="26"/>
  <c r="G18" i="26"/>
  <c r="F18" i="26"/>
  <c r="H18" i="26"/>
  <c r="I18" i="26"/>
  <c r="J18" i="26"/>
  <c r="K18" i="26"/>
  <c r="L18" i="26"/>
  <c r="F19" i="26"/>
  <c r="H19" i="26"/>
  <c r="I19" i="26"/>
  <c r="J19" i="26"/>
  <c r="K19" i="26"/>
  <c r="L19" i="26"/>
  <c r="F20" i="26"/>
  <c r="H20" i="26"/>
  <c r="J20" i="26"/>
  <c r="L20" i="26"/>
  <c r="M20" i="26"/>
  <c r="F21" i="26"/>
  <c r="H21" i="26"/>
  <c r="I21" i="26"/>
  <c r="J21" i="26"/>
  <c r="K21" i="26"/>
  <c r="L21" i="26"/>
  <c r="M21" i="26"/>
  <c r="I22" i="26"/>
  <c r="J22" i="26"/>
  <c r="K22" i="26"/>
  <c r="L22" i="26"/>
  <c r="M22" i="26"/>
  <c r="F23" i="26"/>
  <c r="I23" i="26"/>
  <c r="J23" i="26"/>
  <c r="K23" i="26"/>
  <c r="L23" i="26"/>
  <c r="M23" i="26"/>
  <c r="F24" i="26"/>
  <c r="H24" i="26"/>
  <c r="I24" i="26"/>
  <c r="K24" i="26"/>
  <c r="L24" i="26"/>
  <c r="G110" i="26"/>
  <c r="G109" i="26"/>
  <c r="G108" i="26"/>
  <c r="G107" i="26"/>
  <c r="G106" i="26"/>
  <c r="G105" i="26"/>
  <c r="G104" i="26"/>
  <c r="G88" i="26"/>
  <c r="G87" i="26"/>
  <c r="G86" i="26"/>
  <c r="G85" i="26"/>
  <c r="G84" i="26"/>
  <c r="G83" i="26"/>
  <c r="G66" i="26"/>
  <c r="G65" i="26"/>
  <c r="G64" i="26"/>
  <c r="G63" i="26"/>
  <c r="G62" i="26"/>
  <c r="G61" i="26"/>
  <c r="G19" i="26"/>
  <c r="G20" i="26"/>
  <c r="G21" i="26"/>
  <c r="G22" i="26"/>
  <c r="G23" i="26"/>
  <c r="G24" i="26"/>
  <c r="L25" i="26" l="1"/>
  <c r="K20" i="26"/>
  <c r="M18" i="26"/>
  <c r="I61" i="26"/>
  <c r="K63" i="26"/>
  <c r="I65" i="26"/>
  <c r="K67" i="26"/>
  <c r="J83" i="26"/>
  <c r="H85" i="26"/>
  <c r="K103" i="26"/>
  <c r="K104" i="26"/>
  <c r="H25" i="26"/>
  <c r="M19" i="26"/>
  <c r="J63" i="26"/>
  <c r="I82" i="26"/>
  <c r="L88" i="26"/>
  <c r="J108" i="26"/>
  <c r="H110" i="26"/>
  <c r="M24" i="26"/>
  <c r="M103" i="26"/>
  <c r="BL27" i="30"/>
  <c r="BL29" i="30"/>
  <c r="BL31" i="30"/>
  <c r="BL32" i="30"/>
  <c r="BL28" i="30"/>
  <c r="BL26" i="30"/>
  <c r="BL30" i="30"/>
  <c r="BR31" i="30"/>
  <c r="BR32" i="30"/>
  <c r="BR28" i="30"/>
  <c r="BO26" i="30"/>
  <c r="BP30" i="30"/>
  <c r="BO27" i="30"/>
  <c r="BP29" i="30"/>
  <c r="AD39" i="27"/>
  <c r="A9" i="26"/>
  <c r="AD41" i="27"/>
  <c r="F25" i="26"/>
  <c r="BR30" i="30"/>
  <c r="E25" i="26"/>
  <c r="BQ31" i="30"/>
  <c r="BQ32" i="30"/>
  <c r="BP32" i="30"/>
  <c r="BS32" i="30"/>
  <c r="BR27" i="30"/>
  <c r="BT27" i="30"/>
  <c r="BT30" i="30"/>
  <c r="BO30" i="30"/>
  <c r="BQ30" i="30"/>
  <c r="BP28" i="30"/>
  <c r="BQ28" i="30"/>
  <c r="BP31" i="30"/>
  <c r="BO32" i="30"/>
  <c r="BO31" i="30"/>
  <c r="BQ27" i="30"/>
  <c r="BO28" i="30"/>
  <c r="BS29" i="30"/>
  <c r="BR29" i="30"/>
  <c r="BO29" i="30"/>
  <c r="BP27" i="30"/>
  <c r="BS31" i="30"/>
  <c r="BT31" i="30"/>
  <c r="BT32" i="30"/>
  <c r="BD36" i="30"/>
  <c r="BD40" i="30"/>
  <c r="BB40" i="30" s="1"/>
  <c r="BD41" i="30"/>
  <c r="BD37" i="30"/>
  <c r="BD43" i="30"/>
  <c r="BD38" i="30"/>
  <c r="BB38" i="30" s="1"/>
  <c r="BD42" i="30"/>
  <c r="BB42" i="30" s="1"/>
  <c r="BD39" i="30"/>
  <c r="BQ29" i="30"/>
  <c r="BM28" i="30"/>
  <c r="BT28" i="30"/>
  <c r="BS28" i="30"/>
  <c r="BM26" i="30"/>
  <c r="BP26" i="30"/>
  <c r="BT26" i="30"/>
  <c r="BR26" i="30"/>
  <c r="BQ26" i="30"/>
  <c r="BS26" i="30"/>
  <c r="BR25" i="30"/>
  <c r="BM25" i="30"/>
  <c r="BQ25" i="30"/>
  <c r="BT25" i="30"/>
  <c r="BP25" i="30"/>
  <c r="BS25" i="30"/>
  <c r="BO25" i="30"/>
  <c r="BM30" i="30"/>
  <c r="BS30" i="30"/>
  <c r="BM27" i="30"/>
  <c r="BS27" i="30"/>
  <c r="BM29" i="30"/>
  <c r="BT29" i="30"/>
  <c r="E24" i="26"/>
  <c r="E23" i="26"/>
  <c r="E22" i="26"/>
  <c r="E21" i="26"/>
  <c r="E20" i="26"/>
  <c r="E19" i="26"/>
  <c r="E61" i="26"/>
  <c r="E62" i="26"/>
  <c r="E63" i="26"/>
  <c r="E64" i="26"/>
  <c r="E65" i="26"/>
  <c r="E66" i="26"/>
  <c r="E83" i="26"/>
  <c r="E84" i="26"/>
  <c r="E85" i="26"/>
  <c r="E86" i="26"/>
  <c r="E87" i="26"/>
  <c r="E88" i="26"/>
  <c r="E104" i="26"/>
  <c r="E105" i="26"/>
  <c r="E106" i="26"/>
  <c r="E107" i="26"/>
  <c r="E108" i="26"/>
  <c r="F110" i="26"/>
  <c r="F67" i="26"/>
  <c r="F89" i="26"/>
  <c r="BB41" i="30" l="1"/>
  <c r="BB43" i="30"/>
  <c r="BB39" i="30"/>
  <c r="BB37" i="30"/>
  <c r="I131" i="26"/>
  <c r="M131" i="26"/>
  <c r="M126" i="26"/>
  <c r="J131" i="26"/>
  <c r="K25" i="26"/>
  <c r="F128" i="26"/>
  <c r="M125" i="26"/>
  <c r="L128" i="26"/>
  <c r="H131" i="26"/>
  <c r="H129" i="26"/>
  <c r="K126" i="26"/>
  <c r="H124" i="26"/>
  <c r="L127" i="26"/>
  <c r="I130" i="26"/>
  <c r="M129" i="26"/>
  <c r="L131" i="26"/>
  <c r="H127" i="26"/>
  <c r="J130" i="26"/>
  <c r="J129" i="26"/>
  <c r="I127" i="26"/>
  <c r="BV15" i="30"/>
  <c r="L126" i="26"/>
  <c r="F124" i="26"/>
  <c r="G126" i="26"/>
  <c r="G129" i="26"/>
  <c r="L124" i="26"/>
  <c r="G124" i="26"/>
  <c r="J125" i="26"/>
  <c r="G125" i="26"/>
  <c r="M127" i="26"/>
  <c r="J128" i="26"/>
  <c r="BF42" i="30"/>
  <c r="BJ42" i="30"/>
  <c r="BH42" i="30"/>
  <c r="BG42" i="30"/>
  <c r="BC42" i="30"/>
  <c r="BE42" i="30"/>
  <c r="BI42" i="30"/>
  <c r="BE41" i="30"/>
  <c r="BI41" i="30"/>
  <c r="BJ41" i="30"/>
  <c r="BF41" i="30"/>
  <c r="BH41" i="30"/>
  <c r="BC41" i="30"/>
  <c r="BG41" i="30"/>
  <c r="G131" i="26"/>
  <c r="G130" i="26"/>
  <c r="H128" i="26"/>
  <c r="BF38" i="30"/>
  <c r="BE38" i="30"/>
  <c r="BC38" i="30"/>
  <c r="BH38" i="30"/>
  <c r="BI38" i="30"/>
  <c r="BG38" i="30"/>
  <c r="BJ38" i="30"/>
  <c r="BC40" i="30"/>
  <c r="BG40" i="30"/>
  <c r="BI40" i="30"/>
  <c r="BE40" i="30"/>
  <c r="BF40" i="30"/>
  <c r="BJ40" i="30"/>
  <c r="BH40" i="30"/>
  <c r="K128" i="26"/>
  <c r="G128" i="26"/>
  <c r="M124" i="26"/>
  <c r="K124" i="26"/>
  <c r="F125" i="26"/>
  <c r="F127" i="26"/>
  <c r="BF43" i="30"/>
  <c r="BJ43" i="30"/>
  <c r="BE43" i="30"/>
  <c r="BH43" i="30"/>
  <c r="BG43" i="30"/>
  <c r="BI43" i="30"/>
  <c r="BC43" i="30"/>
  <c r="BG36" i="30"/>
  <c r="BI36" i="30"/>
  <c r="BE36" i="30"/>
  <c r="BJ36" i="30"/>
  <c r="BF36" i="30"/>
  <c r="BC36" i="30"/>
  <c r="BH36" i="30"/>
  <c r="L130" i="26"/>
  <c r="I126" i="26"/>
  <c r="M128" i="26"/>
  <c r="I124" i="26"/>
  <c r="K125" i="26"/>
  <c r="F126" i="26"/>
  <c r="L129" i="26"/>
  <c r="J124" i="26"/>
  <c r="L125" i="26"/>
  <c r="I125" i="26"/>
  <c r="G127" i="26"/>
  <c r="BH39" i="30"/>
  <c r="BC39" i="30"/>
  <c r="BJ39" i="30"/>
  <c r="BG39" i="30"/>
  <c r="BI39" i="30"/>
  <c r="BE39" i="30"/>
  <c r="BF39" i="30"/>
  <c r="BE37" i="30"/>
  <c r="BI37" i="30"/>
  <c r="BJ37" i="30"/>
  <c r="BF37" i="30"/>
  <c r="BC37" i="30"/>
  <c r="BH37" i="30"/>
  <c r="BG37" i="30"/>
  <c r="E89" i="26"/>
  <c r="E67" i="26"/>
  <c r="J127" i="26" l="1"/>
  <c r="K129" i="26"/>
  <c r="M130" i="26"/>
  <c r="H130" i="26"/>
  <c r="F129" i="26"/>
  <c r="J126" i="26"/>
  <c r="K148" i="26"/>
  <c r="K146" i="26"/>
  <c r="K145" i="26"/>
  <c r="J146" i="26"/>
  <c r="J148" i="26"/>
  <c r="I146" i="26"/>
  <c r="F148" i="26"/>
  <c r="M149" i="26"/>
  <c r="J147" i="26"/>
  <c r="J150" i="26"/>
  <c r="K150" i="26"/>
  <c r="J151" i="26"/>
  <c r="A7" i="26"/>
  <c r="J145" i="26"/>
  <c r="J152" i="26"/>
  <c r="M152" i="26"/>
  <c r="J149" i="26"/>
  <c r="K151" i="26"/>
  <c r="H146" i="26"/>
  <c r="K152" i="26"/>
  <c r="K149" i="26"/>
  <c r="K147" i="26"/>
  <c r="G148" i="26"/>
  <c r="H152" i="26"/>
  <c r="G149" i="26"/>
  <c r="H149" i="26"/>
  <c r="G147" i="26"/>
  <c r="L150" i="26"/>
  <c r="F151" i="26"/>
  <c r="E129" i="26"/>
  <c r="M148" i="26"/>
  <c r="G146" i="26"/>
  <c r="M146" i="26"/>
  <c r="E127" i="26"/>
  <c r="F145" i="26"/>
  <c r="L145" i="26"/>
  <c r="L152" i="26"/>
  <c r="G152" i="26"/>
  <c r="L149" i="26"/>
  <c r="H150" i="26"/>
  <c r="F146" i="26"/>
  <c r="I148" i="26"/>
  <c r="H145" i="26"/>
  <c r="L146" i="26"/>
  <c r="L148" i="26"/>
  <c r="I145" i="26"/>
  <c r="E128" i="26"/>
  <c r="I149" i="26"/>
  <c r="F147" i="26"/>
  <c r="G150" i="26"/>
  <c r="I150" i="26"/>
  <c r="L151" i="26"/>
  <c r="G145" i="26"/>
  <c r="I152" i="26"/>
  <c r="H147" i="26"/>
  <c r="E130" i="26"/>
  <c r="E131" i="26"/>
  <c r="M150" i="26"/>
  <c r="H151" i="26"/>
  <c r="G151" i="26"/>
  <c r="E125" i="26"/>
  <c r="E126" i="26"/>
  <c r="M145" i="26" l="1"/>
  <c r="I147" i="26"/>
  <c r="F149" i="26"/>
  <c r="I151" i="26"/>
  <c r="L147" i="26"/>
  <c r="M151" i="26"/>
  <c r="M147" i="26"/>
  <c r="F150" i="26"/>
  <c r="H148" i="26"/>
  <c r="H126" i="26"/>
  <c r="I128" i="26"/>
  <c r="H125" i="26"/>
  <c r="K130" i="26"/>
  <c r="K131" i="26"/>
  <c r="I129" i="26"/>
  <c r="K127" i="26"/>
  <c r="E152" i="26"/>
  <c r="E146" i="26"/>
  <c r="E149" i="26"/>
  <c r="E147" i="26"/>
  <c r="E151" i="26"/>
  <c r="E150" i="26"/>
  <c r="F152" i="26"/>
  <c r="A2" i="26" s="1"/>
  <c r="E148" i="26"/>
  <c r="A15" i="4" l="1"/>
  <c r="R15" i="4" s="1"/>
  <c r="A14" i="4"/>
  <c r="R14" i="4" s="1"/>
  <c r="A13" i="4"/>
  <c r="R13" i="4" s="1"/>
  <c r="A12" i="4"/>
  <c r="R12" i="4" s="1"/>
  <c r="A11" i="4"/>
  <c r="R11" i="4" s="1"/>
  <c r="A10" i="4"/>
  <c r="R10" i="4" s="1"/>
  <c r="A9" i="4"/>
  <c r="R9" i="4" s="1"/>
  <c r="A8" i="4"/>
  <c r="R8" i="4" s="1"/>
  <c r="A7" i="4"/>
  <c r="R7" i="4" s="1"/>
  <c r="A6" i="4"/>
  <c r="R6" i="4" s="1"/>
  <c r="A225" i="26" l="1"/>
  <c r="O225" i="26" s="1"/>
  <c r="A219" i="26"/>
  <c r="O219" i="26" s="1"/>
  <c r="A217" i="26"/>
  <c r="O217" i="26" s="1"/>
  <c r="A224" i="26"/>
  <c r="O224" i="26" s="1"/>
  <c r="A216" i="26"/>
  <c r="O216" i="26" s="1"/>
  <c r="A222" i="26"/>
  <c r="O222" i="26" s="1"/>
  <c r="A220" i="26"/>
  <c r="O220" i="26" s="1"/>
  <c r="A198" i="26"/>
  <c r="O198" i="26" s="1"/>
  <c r="A202" i="26"/>
  <c r="O202" i="26" s="1"/>
  <c r="A204" i="26"/>
  <c r="O204" i="26" s="1"/>
  <c r="A215" i="26"/>
  <c r="O215" i="26" s="1"/>
  <c r="A218" i="26"/>
  <c r="O218" i="26" s="1"/>
  <c r="A211" i="26"/>
  <c r="O211" i="26" s="1"/>
  <c r="A213" i="26"/>
  <c r="O213" i="26" s="1"/>
  <c r="A195" i="26"/>
  <c r="O195" i="26" s="1"/>
  <c r="A194" i="26"/>
  <c r="O194" i="26" s="1"/>
  <c r="A208" i="26"/>
  <c r="O208" i="26" s="1"/>
  <c r="A214" i="26"/>
  <c r="O214" i="26" s="1"/>
  <c r="A206" i="26"/>
  <c r="O206" i="26" s="1"/>
  <c r="A200" i="26"/>
  <c r="O200" i="26" s="1"/>
  <c r="A199" i="26"/>
  <c r="O199" i="26" s="1"/>
  <c r="A212" i="26"/>
  <c r="O212" i="26" s="1"/>
  <c r="A207" i="26"/>
  <c r="O207" i="26" s="1"/>
  <c r="A197" i="26"/>
  <c r="O197" i="26" s="1"/>
  <c r="A201" i="26"/>
  <c r="O201" i="26" s="1"/>
  <c r="A188" i="26"/>
  <c r="O188" i="26" s="1"/>
  <c r="A190" i="26"/>
  <c r="O190" i="26" s="1"/>
  <c r="A203" i="26"/>
  <c r="O203" i="26" s="1"/>
  <c r="A191" i="26"/>
  <c r="O191" i="26" s="1"/>
  <c r="A196" i="26"/>
  <c r="O196" i="26" s="1"/>
  <c r="A205" i="26"/>
  <c r="O205" i="26" s="1"/>
  <c r="A210" i="26"/>
  <c r="O210" i="26" s="1"/>
  <c r="A185" i="26"/>
  <c r="O185" i="26" s="1"/>
  <c r="A209" i="26"/>
  <c r="O209" i="26" s="1"/>
  <c r="A221" i="26"/>
  <c r="O221" i="26" s="1"/>
  <c r="A223" i="26"/>
  <c r="O223" i="26" s="1"/>
  <c r="A187" i="26"/>
  <c r="O187" i="26" s="1"/>
  <c r="A189" i="26"/>
  <c r="O189" i="26" s="1"/>
  <c r="P185" i="26" s="1"/>
  <c r="A186" i="26"/>
  <c r="O186" i="26" s="1"/>
  <c r="A193" i="26"/>
  <c r="O193" i="26" s="1"/>
  <c r="A184" i="26"/>
  <c r="O184" i="26" s="1"/>
  <c r="P186" i="26" l="1"/>
  <c r="Q185" i="26"/>
  <c r="A192" i="26"/>
  <c r="O192" i="26" s="1"/>
  <c r="Q186" i="26" l="1"/>
  <c r="P187" i="26"/>
  <c r="F15" i="26"/>
  <c r="F13" i="26"/>
  <c r="F14" i="26"/>
  <c r="B13" i="26"/>
  <c r="B15" i="26"/>
  <c r="B14" i="26"/>
  <c r="DQ60" i="27" l="1"/>
  <c r="DQ77" i="27"/>
  <c r="DQ80" i="27"/>
  <c r="DQ82" i="27"/>
  <c r="DQ63" i="27"/>
  <c r="DQ74" i="27"/>
  <c r="DQ68" i="27"/>
  <c r="DQ58" i="27"/>
  <c r="T58" i="27" s="1"/>
  <c r="DQ78" i="27"/>
  <c r="DQ79" i="27"/>
  <c r="DQ84" i="27"/>
  <c r="DQ64" i="27"/>
  <c r="DQ70" i="27"/>
  <c r="DQ62" i="27"/>
  <c r="DQ59" i="27"/>
  <c r="T59" i="27" s="1"/>
  <c r="DQ73" i="27"/>
  <c r="DQ71" i="27"/>
  <c r="DQ75" i="27"/>
  <c r="DQ81" i="27"/>
  <c r="DQ65" i="27"/>
  <c r="DQ76" i="27"/>
  <c r="DQ66" i="27"/>
  <c r="DQ72" i="27"/>
  <c r="DQ61" i="27"/>
  <c r="DQ83" i="27"/>
  <c r="DQ67" i="27"/>
  <c r="DQ69" i="27"/>
  <c r="H13" i="26"/>
  <c r="H14" i="26" s="1"/>
  <c r="H15" i="26" s="1"/>
  <c r="DR76" i="27"/>
  <c r="DR82" i="27"/>
  <c r="DR74" i="27"/>
  <c r="DR73" i="27"/>
  <c r="DR62" i="27"/>
  <c r="DR81" i="27"/>
  <c r="DR65" i="27"/>
  <c r="DR59" i="27"/>
  <c r="U59" i="27" s="1"/>
  <c r="R59" i="27" s="1"/>
  <c r="DR64" i="27"/>
  <c r="DR70" i="27"/>
  <c r="DR58" i="27"/>
  <c r="U58" i="27" s="1"/>
  <c r="DR66" i="27"/>
  <c r="DR72" i="27"/>
  <c r="DR69" i="27"/>
  <c r="DR60" i="27"/>
  <c r="DR61" i="27"/>
  <c r="DR77" i="27"/>
  <c r="DR63" i="27"/>
  <c r="DR80" i="27"/>
  <c r="DR83" i="27"/>
  <c r="DR79" i="27"/>
  <c r="DR71" i="27"/>
  <c r="DR84" i="27"/>
  <c r="DR78" i="27"/>
  <c r="DR67" i="27"/>
  <c r="DR68" i="27"/>
  <c r="DR75" i="27"/>
  <c r="P188" i="26"/>
  <c r="Q187" i="26"/>
  <c r="A110" i="26"/>
  <c r="A18" i="26"/>
  <c r="A130" i="26"/>
  <c r="A82" i="26"/>
  <c r="A167" i="26"/>
  <c r="A61" i="26"/>
  <c r="A171" i="26"/>
  <c r="A170" i="26"/>
  <c r="A172" i="26"/>
  <c r="A173" i="26"/>
  <c r="A169" i="26"/>
  <c r="A166" i="26"/>
  <c r="A168" i="26"/>
  <c r="A165" i="26"/>
  <c r="I13" i="26"/>
  <c r="A111" i="26"/>
  <c r="A22" i="26"/>
  <c r="A124" i="26"/>
  <c r="A27" i="26"/>
  <c r="A23" i="26"/>
  <c r="A26" i="26"/>
  <c r="A131" i="26"/>
  <c r="A125" i="26"/>
  <c r="A151" i="26"/>
  <c r="A152" i="26"/>
  <c r="A147" i="26"/>
  <c r="A153" i="26"/>
  <c r="A150" i="26"/>
  <c r="A67" i="26"/>
  <c r="A68" i="26"/>
  <c r="A90" i="26"/>
  <c r="A89" i="26"/>
  <c r="A69" i="26"/>
  <c r="A66" i="26"/>
  <c r="A104" i="26"/>
  <c r="A107" i="26"/>
  <c r="A109" i="26"/>
  <c r="A149" i="26"/>
  <c r="A46" i="26"/>
  <c r="A44" i="26"/>
  <c r="A47" i="26"/>
  <c r="A88" i="26"/>
  <c r="A42" i="26"/>
  <c r="A129" i="26"/>
  <c r="A108" i="26"/>
  <c r="A63" i="26"/>
  <c r="A65" i="26"/>
  <c r="A86" i="26"/>
  <c r="A87" i="26"/>
  <c r="A25" i="26"/>
  <c r="A24" i="26"/>
  <c r="A62" i="26"/>
  <c r="A83" i="26"/>
  <c r="A21" i="26"/>
  <c r="A84" i="26"/>
  <c r="A20" i="26"/>
  <c r="A146" i="26"/>
  <c r="A19" i="26"/>
  <c r="A64" i="26"/>
  <c r="A43" i="26"/>
  <c r="A60" i="26"/>
  <c r="A40" i="26"/>
  <c r="A41" i="26"/>
  <c r="A103" i="26"/>
  <c r="A85" i="26"/>
  <c r="A145" i="26"/>
  <c r="A105" i="26"/>
  <c r="A126" i="26"/>
  <c r="A106" i="26"/>
  <c r="A148" i="26"/>
  <c r="A127" i="26"/>
  <c r="A128" i="26"/>
  <c r="A45" i="26"/>
  <c r="A39" i="26"/>
  <c r="A11" i="26"/>
  <c r="P189" i="26" l="1"/>
  <c r="Q188" i="26"/>
  <c r="R58" i="27"/>
  <c r="C85" i="26"/>
  <c r="C146" i="26"/>
  <c r="B108" i="26"/>
  <c r="C88" i="26"/>
  <c r="B149" i="26"/>
  <c r="B104" i="26"/>
  <c r="C22" i="26"/>
  <c r="C128" i="26"/>
  <c r="C126" i="26"/>
  <c r="B103" i="26"/>
  <c r="C43" i="26"/>
  <c r="B62" i="26"/>
  <c r="B86" i="26"/>
  <c r="C129" i="26"/>
  <c r="C109" i="26"/>
  <c r="D109" i="26" s="1"/>
  <c r="C125" i="26"/>
  <c r="B130" i="26"/>
  <c r="C127" i="26"/>
  <c r="B41" i="26"/>
  <c r="B65" i="26"/>
  <c r="C44" i="26"/>
  <c r="B69" i="26"/>
  <c r="C82" i="26"/>
  <c r="C21" i="26"/>
  <c r="B25" i="26"/>
  <c r="C42" i="26"/>
  <c r="B46" i="26"/>
  <c r="C151" i="26"/>
  <c r="C124" i="26"/>
  <c r="B111" i="26"/>
  <c r="B173" i="26"/>
  <c r="C61" i="26"/>
  <c r="C110" i="26"/>
  <c r="D110" i="26" s="1"/>
  <c r="B110" i="26"/>
  <c r="B18" i="26"/>
  <c r="C18" i="26"/>
  <c r="B82" i="26"/>
  <c r="C25" i="26"/>
  <c r="D25" i="26" s="1"/>
  <c r="B107" i="26"/>
  <c r="C148" i="26"/>
  <c r="C86" i="26"/>
  <c r="D86" i="26" s="1"/>
  <c r="C62" i="26"/>
  <c r="B147" i="26"/>
  <c r="C105" i="26"/>
  <c r="C64" i="26"/>
  <c r="B61" i="26"/>
  <c r="B151" i="26"/>
  <c r="C130" i="26"/>
  <c r="D130" i="26" s="1"/>
  <c r="C107" i="26"/>
  <c r="C40" i="26"/>
  <c r="C69" i="26"/>
  <c r="D69" i="26" s="1"/>
  <c r="B106" i="26"/>
  <c r="B85" i="26"/>
  <c r="B22" i="26"/>
  <c r="B84" i="26"/>
  <c r="B40" i="26"/>
  <c r="B148" i="26"/>
  <c r="C145" i="26"/>
  <c r="C84" i="26"/>
  <c r="D84" i="26" s="1"/>
  <c r="C106" i="26"/>
  <c r="B60" i="26"/>
  <c r="C19" i="26"/>
  <c r="C60" i="26"/>
  <c r="C63" i="26"/>
  <c r="B63" i="26"/>
  <c r="I15" i="26"/>
  <c r="B146" i="26"/>
  <c r="B83" i="26"/>
  <c r="C168" i="26"/>
  <c r="B145" i="26"/>
  <c r="B19" i="26"/>
  <c r="C111" i="26"/>
  <c r="D111" i="26" s="1"/>
  <c r="B126" i="26"/>
  <c r="B20" i="26"/>
  <c r="C23" i="26"/>
  <c r="C167" i="26"/>
  <c r="C20" i="26"/>
  <c r="D20" i="26" s="1"/>
  <c r="B43" i="26"/>
  <c r="B42" i="26"/>
  <c r="B167" i="26"/>
  <c r="C67" i="26"/>
  <c r="D67" i="26" s="1"/>
  <c r="B88" i="26"/>
  <c r="B23" i="26"/>
  <c r="C65" i="26"/>
  <c r="D65" i="26" s="1"/>
  <c r="B90" i="26"/>
  <c r="B67" i="26"/>
  <c r="C166" i="26"/>
  <c r="C90" i="26"/>
  <c r="D90" i="26" s="1"/>
  <c r="B129" i="26"/>
  <c r="B44" i="26"/>
  <c r="C46" i="26"/>
  <c r="D46" i="26" s="1"/>
  <c r="C150" i="26"/>
  <c r="B131" i="26"/>
  <c r="B27" i="26"/>
  <c r="C27" i="26"/>
  <c r="D27" i="26" s="1"/>
  <c r="B105" i="26"/>
  <c r="B125" i="26"/>
  <c r="C41" i="26"/>
  <c r="D41" i="26" s="1"/>
  <c r="C83" i="26"/>
  <c r="C104" i="26"/>
  <c r="D104" i="26" s="1"/>
  <c r="C147" i="26"/>
  <c r="B64" i="26"/>
  <c r="B21" i="26"/>
  <c r="C103" i="26"/>
  <c r="C131" i="26"/>
  <c r="D131" i="26" s="1"/>
  <c r="C165" i="26"/>
  <c r="C149" i="26"/>
  <c r="D149" i="26" s="1"/>
  <c r="B150" i="26"/>
  <c r="C108" i="26"/>
  <c r="D108" i="26" s="1"/>
  <c r="B170" i="26"/>
  <c r="B171" i="26"/>
  <c r="B172" i="26"/>
  <c r="B169" i="26"/>
  <c r="B165" i="26"/>
  <c r="B168" i="26"/>
  <c r="B166" i="26"/>
  <c r="C173" i="26"/>
  <c r="D173" i="26" s="1"/>
  <c r="C172" i="26"/>
  <c r="D172" i="26" s="1"/>
  <c r="C171" i="26"/>
  <c r="D171" i="26" s="1"/>
  <c r="C170" i="26"/>
  <c r="D170" i="26" s="1"/>
  <c r="C169" i="26"/>
  <c r="B124" i="26"/>
  <c r="C26" i="26"/>
  <c r="D26" i="26" s="1"/>
  <c r="B26" i="26"/>
  <c r="B152" i="26"/>
  <c r="C152" i="26"/>
  <c r="B153" i="26"/>
  <c r="C153" i="26"/>
  <c r="C68" i="26"/>
  <c r="D68" i="26" s="1"/>
  <c r="B68" i="26"/>
  <c r="C89" i="26"/>
  <c r="D89" i="26" s="1"/>
  <c r="B89" i="26"/>
  <c r="B66" i="26"/>
  <c r="C66" i="26"/>
  <c r="D66" i="26" s="1"/>
  <c r="B109" i="26"/>
  <c r="C47" i="26"/>
  <c r="B47" i="26"/>
  <c r="B87" i="26"/>
  <c r="C87" i="26"/>
  <c r="C24" i="26"/>
  <c r="B24" i="26"/>
  <c r="B39" i="26"/>
  <c r="C39" i="26"/>
  <c r="B45" i="26"/>
  <c r="C45" i="26"/>
  <c r="B128" i="26"/>
  <c r="D128" i="26" s="1"/>
  <c r="B127" i="26"/>
  <c r="D147" i="26" l="1"/>
  <c r="D83" i="26"/>
  <c r="D106" i="26"/>
  <c r="D62" i="26"/>
  <c r="D87" i="26"/>
  <c r="D63" i="26"/>
  <c r="D19" i="26"/>
  <c r="D150" i="26"/>
  <c r="B48" i="26"/>
  <c r="D48" i="26" s="1"/>
  <c r="D165" i="26"/>
  <c r="C175" i="26"/>
  <c r="D166" i="26"/>
  <c r="D64" i="26"/>
  <c r="B91" i="26"/>
  <c r="D91" i="26" s="1"/>
  <c r="D42" i="26"/>
  <c r="C92" i="26"/>
  <c r="D82" i="26"/>
  <c r="D127" i="26"/>
  <c r="D129" i="26"/>
  <c r="D43" i="26"/>
  <c r="E174" i="26"/>
  <c r="D103" i="26"/>
  <c r="C113" i="26"/>
  <c r="D168" i="26"/>
  <c r="D151" i="26"/>
  <c r="D125" i="26"/>
  <c r="D146" i="26"/>
  <c r="B174" i="26"/>
  <c r="D174" i="26" s="1"/>
  <c r="P190" i="26"/>
  <c r="Q189" i="26"/>
  <c r="D169" i="26"/>
  <c r="D47" i="26"/>
  <c r="D124" i="26"/>
  <c r="D167" i="26"/>
  <c r="D40" i="26"/>
  <c r="B28" i="26"/>
  <c r="D44" i="26"/>
  <c r="D126" i="26"/>
  <c r="D22" i="26"/>
  <c r="D88" i="26"/>
  <c r="B112" i="26"/>
  <c r="D112" i="26" s="1"/>
  <c r="B133" i="26"/>
  <c r="D133" i="26" s="1"/>
  <c r="D39" i="26"/>
  <c r="C49" i="26"/>
  <c r="D45" i="26"/>
  <c r="D24" i="26"/>
  <c r="D153" i="26"/>
  <c r="D152" i="26"/>
  <c r="D23" i="26"/>
  <c r="D60" i="26"/>
  <c r="C72" i="26"/>
  <c r="B71" i="26"/>
  <c r="D71" i="26" s="1"/>
  <c r="D145" i="26"/>
  <c r="C155" i="26"/>
  <c r="D107" i="26"/>
  <c r="D105" i="26"/>
  <c r="D148" i="26"/>
  <c r="C29" i="26"/>
  <c r="D18" i="26"/>
  <c r="D61" i="26"/>
  <c r="C134" i="26"/>
  <c r="D21" i="26"/>
  <c r="D85" i="26"/>
  <c r="B154" i="26"/>
  <c r="D154" i="26" s="1"/>
  <c r="I14" i="26"/>
  <c r="B155" i="26" l="1"/>
  <c r="B92" i="26"/>
  <c r="D92" i="26" s="1"/>
  <c r="B72" i="26"/>
  <c r="D72" i="26" s="1"/>
  <c r="B175" i="26"/>
  <c r="D175" i="26" s="1"/>
  <c r="D155" i="26"/>
  <c r="D28" i="26"/>
  <c r="A4" i="26"/>
  <c r="A3" i="26"/>
  <c r="B134" i="26"/>
  <c r="D134" i="26" s="1"/>
  <c r="B113" i="26"/>
  <c r="D113" i="26" s="1"/>
  <c r="B29" i="26"/>
  <c r="D29" i="26" s="1"/>
  <c r="P191" i="26"/>
  <c r="Q190" i="26"/>
  <c r="B49" i="26"/>
  <c r="D49" i="26" s="1"/>
  <c r="E154" i="26" l="1"/>
  <c r="Q191" i="26"/>
  <c r="P192" i="26"/>
  <c r="E133" i="26"/>
  <c r="E69" i="26" l="1"/>
  <c r="E112" i="26"/>
  <c r="E91" i="26"/>
  <c r="E27" i="26"/>
  <c r="Q192" i="26"/>
  <c r="P193" i="26"/>
  <c r="AD45" i="27"/>
  <c r="E48" i="26"/>
  <c r="Q193" i="26" l="1"/>
  <c r="P194" i="26"/>
  <c r="Q194" i="26" l="1"/>
  <c r="P195" i="26"/>
  <c r="AD44" i="27" l="1"/>
  <c r="AA13" i="27" l="1"/>
  <c r="E173" i="26" l="1"/>
  <c r="E47" i="26"/>
  <c r="E26" i="26"/>
  <c r="R3" i="27"/>
  <c r="AD13" i="27" l="1"/>
  <c r="E153" i="26"/>
  <c r="E68" i="26"/>
  <c r="E111" i="26"/>
  <c r="E132" i="26"/>
  <c r="E90" i="26"/>
  <c r="E21" i="4" l="1"/>
  <c r="E23" i="4"/>
  <c r="E20" i="4"/>
  <c r="E22" i="4"/>
  <c r="E25" i="4"/>
  <c r="E24" i="4"/>
  <c r="A3" i="4" l="1"/>
  <c r="K22" i="4"/>
  <c r="K25" i="4"/>
  <c r="DE5" i="30"/>
  <c r="DE28" i="30"/>
  <c r="DE25" i="30"/>
  <c r="DE9" i="30"/>
  <c r="H20" i="4"/>
  <c r="DE18" i="30"/>
  <c r="DE2" i="30"/>
  <c r="DE39" i="30"/>
  <c r="H24" i="4"/>
  <c r="DE41" i="30"/>
  <c r="DE17" i="30"/>
  <c r="DE16" i="30" l="1"/>
  <c r="DE13" i="30"/>
  <c r="DE3" i="30"/>
  <c r="DE4" i="30"/>
  <c r="DE22" i="30"/>
  <c r="DE33" i="30"/>
  <c r="DQ55" i="27"/>
  <c r="T55" i="27" s="1"/>
  <c r="I21" i="4"/>
  <c r="I25" i="4"/>
  <c r="J23" i="4"/>
  <c r="J24" i="4"/>
  <c r="I20" i="4"/>
  <c r="H22" i="4"/>
  <c r="J21" i="4"/>
  <c r="H25" i="4"/>
  <c r="H23" i="4"/>
  <c r="I24" i="4"/>
  <c r="J20" i="4"/>
  <c r="I22" i="4"/>
  <c r="AB39" i="27"/>
  <c r="AA39" i="27" s="1"/>
  <c r="H21" i="4"/>
  <c r="J25" i="4"/>
  <c r="I23" i="4"/>
  <c r="J22" i="4"/>
  <c r="K21" i="4"/>
  <c r="K23" i="4"/>
  <c r="K24" i="4"/>
  <c r="K20" i="4"/>
  <c r="DQ27" i="27"/>
  <c r="T27" i="27" s="1"/>
  <c r="BV27" i="27" s="1"/>
  <c r="DQ23" i="27"/>
  <c r="T23" i="27" s="1"/>
  <c r="BV23" i="27" s="1"/>
  <c r="DG39" i="30"/>
  <c r="DQ16" i="27"/>
  <c r="T16" i="27" s="1"/>
  <c r="DQ31" i="27"/>
  <c r="T31" i="27" s="1"/>
  <c r="BV31" i="27" s="1"/>
  <c r="DQ41" i="27"/>
  <c r="T41" i="27" s="1"/>
  <c r="BV41" i="27" s="1"/>
  <c r="DQ20" i="27"/>
  <c r="T20" i="27" s="1"/>
  <c r="BV20" i="27" s="1"/>
  <c r="DQ25" i="27"/>
  <c r="T25" i="27" s="1"/>
  <c r="BV25" i="27" s="1"/>
  <c r="DQ26" i="27"/>
  <c r="T26" i="27" s="1"/>
  <c r="BV26" i="27" s="1"/>
  <c r="DQ40" i="27"/>
  <c r="T40" i="27" s="1"/>
  <c r="BV40" i="27" s="1"/>
  <c r="DQ29" i="27"/>
  <c r="T29" i="27" s="1"/>
  <c r="BV29" i="27" s="1"/>
  <c r="DQ34" i="27"/>
  <c r="T34" i="27" s="1"/>
  <c r="BV34" i="27" s="1"/>
  <c r="DG41" i="30"/>
  <c r="DQ22" i="27"/>
  <c r="T22" i="27" s="1"/>
  <c r="BV22" i="27" s="1"/>
  <c r="DG25" i="30"/>
  <c r="DQ39" i="27"/>
  <c r="T39" i="27" s="1"/>
  <c r="BV39" i="27" s="1"/>
  <c r="DQ32" i="27"/>
  <c r="T32" i="27" s="1"/>
  <c r="BV32" i="27" s="1"/>
  <c r="DQ24" i="27"/>
  <c r="T24" i="27" s="1"/>
  <c r="BV24" i="27" s="1"/>
  <c r="DQ21" i="27"/>
  <c r="T21" i="27" s="1"/>
  <c r="BV21" i="27" s="1"/>
  <c r="DG9" i="30"/>
  <c r="DQ18" i="27"/>
  <c r="T18" i="27" s="1"/>
  <c r="BV18" i="27" s="1"/>
  <c r="DG5" i="30"/>
  <c r="DQ30" i="27"/>
  <c r="T30" i="27" s="1"/>
  <c r="BV30" i="27" s="1"/>
  <c r="DQ17" i="27"/>
  <c r="T17" i="27" s="1"/>
  <c r="BV17" i="27" s="1"/>
  <c r="DG3" i="30" l="1"/>
  <c r="DG13" i="30"/>
  <c r="DG16" i="30"/>
  <c r="DH16" i="30" s="1"/>
  <c r="DG28" i="30"/>
  <c r="DJ28" i="30" s="1"/>
  <c r="DG18" i="30"/>
  <c r="DJ18" i="30" s="1"/>
  <c r="DG22" i="30"/>
  <c r="DH22" i="30" s="1"/>
  <c r="DG2" i="30"/>
  <c r="DJ2" i="30" s="1"/>
  <c r="DG33" i="30"/>
  <c r="DJ33" i="30" s="1"/>
  <c r="DG4" i="30"/>
  <c r="DJ4" i="30" s="1"/>
  <c r="DG17" i="30"/>
  <c r="DJ17" i="30" s="1"/>
  <c r="DH9" i="30"/>
  <c r="DJ9" i="30"/>
  <c r="DJ25" i="30"/>
  <c r="DH25" i="30"/>
  <c r="DJ41" i="30"/>
  <c r="DH41" i="30"/>
  <c r="DH13" i="30"/>
  <c r="DJ13" i="30"/>
  <c r="DH2" i="30"/>
  <c r="DJ16" i="30"/>
  <c r="DJ3" i="30"/>
  <c r="DH3" i="30"/>
  <c r="DH5" i="30"/>
  <c r="DJ5" i="30"/>
  <c r="DJ39" i="30"/>
  <c r="DH39" i="30"/>
  <c r="DR21" i="27"/>
  <c r="U21" i="27" s="1"/>
  <c r="DR22" i="27"/>
  <c r="U22" i="27" s="1"/>
  <c r="DR29" i="27"/>
  <c r="U29" i="27" s="1"/>
  <c r="DR32" i="27"/>
  <c r="U32" i="27" s="1"/>
  <c r="BW32" i="27" s="1"/>
  <c r="DR19" i="27"/>
  <c r="U19" i="27" s="1"/>
  <c r="DR40" i="27"/>
  <c r="U40" i="27" s="1"/>
  <c r="BW40" i="27" s="1"/>
  <c r="DR41" i="27"/>
  <c r="U41" i="27" s="1"/>
  <c r="DR30" i="27"/>
  <c r="U30" i="27" s="1"/>
  <c r="BW30" i="27" s="1"/>
  <c r="DR39" i="27"/>
  <c r="U39" i="27" s="1"/>
  <c r="BW39" i="27" s="1"/>
  <c r="DR17" i="27"/>
  <c r="U17" i="27" s="1"/>
  <c r="BW17" i="27" s="1"/>
  <c r="DR18" i="27"/>
  <c r="U18" i="27" s="1"/>
  <c r="BW18" i="27" s="1"/>
  <c r="DR16" i="27"/>
  <c r="U16" i="27" s="1"/>
  <c r="DR27" i="27"/>
  <c r="U27" i="27" s="1"/>
  <c r="BW27" i="27" s="1"/>
  <c r="DR33" i="27"/>
  <c r="U33" i="27" s="1"/>
  <c r="DR34" i="27"/>
  <c r="U34" i="27" s="1"/>
  <c r="BW34" i="27" s="1"/>
  <c r="DR26" i="27"/>
  <c r="U26" i="27" s="1"/>
  <c r="BW26" i="27" s="1"/>
  <c r="DR20" i="27"/>
  <c r="U20" i="27" s="1"/>
  <c r="BW20" i="27" s="1"/>
  <c r="DR55" i="27"/>
  <c r="U55" i="27" s="1"/>
  <c r="BW22" i="27"/>
  <c r="BW29" i="27"/>
  <c r="BW21" i="27"/>
  <c r="BW41" i="27"/>
  <c r="BV16" i="27"/>
  <c r="DQ19" i="27"/>
  <c r="T19" i="27" s="1"/>
  <c r="BV19" i="27" s="1"/>
  <c r="DE10" i="30"/>
  <c r="DE6" i="30"/>
  <c r="DE42" i="30"/>
  <c r="DE23" i="30"/>
  <c r="DQ33" i="27"/>
  <c r="T33" i="27" s="1"/>
  <c r="BV33" i="27" s="1"/>
  <c r="DR31" i="27"/>
  <c r="U31" i="27" s="1"/>
  <c r="DH17" i="30" l="1"/>
  <c r="DJ22" i="30"/>
  <c r="DH33" i="30"/>
  <c r="DH28" i="30"/>
  <c r="DH4" i="30"/>
  <c r="DH18" i="30"/>
  <c r="X9" i="27"/>
  <c r="DE8" i="30"/>
  <c r="DE7" i="30"/>
  <c r="DE14" i="30"/>
  <c r="DE15" i="30"/>
  <c r="DE38" i="30"/>
  <c r="DE19" i="30"/>
  <c r="DE12" i="30"/>
  <c r="DE11" i="30"/>
  <c r="DQ37" i="27"/>
  <c r="T37" i="27" s="1"/>
  <c r="BV37" i="27" s="1"/>
  <c r="DQ49" i="27"/>
  <c r="T49" i="27" s="1"/>
  <c r="DQ44" i="27"/>
  <c r="T44" i="27" s="1"/>
  <c r="BV44" i="27" s="1"/>
  <c r="DQ38" i="27"/>
  <c r="T38" i="27" s="1"/>
  <c r="BV38" i="27" s="1"/>
  <c r="DQ54" i="27"/>
  <c r="T54" i="27" s="1"/>
  <c r="BW19" i="27"/>
  <c r="BW31" i="27"/>
  <c r="BW33" i="27"/>
  <c r="BW16" i="27"/>
  <c r="DE31" i="30"/>
  <c r="DE34" i="30"/>
  <c r="DE20" i="30"/>
  <c r="DE43" i="30"/>
  <c r="DE40" i="30"/>
  <c r="DE27" i="30"/>
  <c r="DE36" i="30"/>
  <c r="DG10" i="30"/>
  <c r="DG23" i="30"/>
  <c r="DQ28" i="27"/>
  <c r="T28" i="27" s="1"/>
  <c r="DG42" i="30"/>
  <c r="DR24" i="27"/>
  <c r="U24" i="27" s="1"/>
  <c r="DQ42" i="27"/>
  <c r="T42" i="27" s="1"/>
  <c r="BV42" i="27" s="1"/>
  <c r="DR25" i="27"/>
  <c r="U25" i="27" s="1"/>
  <c r="DG6" i="30"/>
  <c r="DQ36" i="27"/>
  <c r="T36" i="27" s="1"/>
  <c r="BV36" i="27" s="1"/>
  <c r="DG8" i="30" l="1"/>
  <c r="DG7" i="30"/>
  <c r="DE26" i="30"/>
  <c r="DE24" i="30"/>
  <c r="DG14" i="30"/>
  <c r="DG15" i="30"/>
  <c r="DG12" i="30"/>
  <c r="DG11" i="30"/>
  <c r="DE32" i="30"/>
  <c r="DE21" i="30"/>
  <c r="DE37" i="30"/>
  <c r="DG38" i="30"/>
  <c r="DG19" i="30"/>
  <c r="DE29" i="30"/>
  <c r="DE30" i="30"/>
  <c r="DE35" i="30"/>
  <c r="DJ14" i="30"/>
  <c r="DH14" i="30"/>
  <c r="DJ42" i="30"/>
  <c r="DH42" i="30"/>
  <c r="DH12" i="30"/>
  <c r="DJ12" i="30"/>
  <c r="DH23" i="30"/>
  <c r="DJ23" i="30"/>
  <c r="DH10" i="30"/>
  <c r="DJ10" i="30"/>
  <c r="DH6" i="30"/>
  <c r="DJ6" i="30"/>
  <c r="DH8" i="30"/>
  <c r="DJ8" i="30"/>
  <c r="DR36" i="27"/>
  <c r="U36" i="27" s="1"/>
  <c r="DR54" i="27"/>
  <c r="U54" i="27" s="1"/>
  <c r="DR38" i="27"/>
  <c r="U38" i="27" s="1"/>
  <c r="BW38" i="27" s="1"/>
  <c r="DQ46" i="27"/>
  <c r="T46" i="27" s="1"/>
  <c r="BV46" i="27" s="1"/>
  <c r="DG20" i="30"/>
  <c r="DQ43" i="27"/>
  <c r="T43" i="27" s="1"/>
  <c r="BV43" i="27" s="1"/>
  <c r="DR49" i="27"/>
  <c r="U49" i="27" s="1"/>
  <c r="DQ52" i="27"/>
  <c r="T52" i="27" s="1"/>
  <c r="DQ51" i="27"/>
  <c r="T51" i="27" s="1"/>
  <c r="DQ53" i="27"/>
  <c r="T53" i="27" s="1"/>
  <c r="DR42" i="27"/>
  <c r="U42" i="27" s="1"/>
  <c r="BW42" i="27" s="1"/>
  <c r="DR44" i="27"/>
  <c r="U44" i="27" s="1"/>
  <c r="BW44" i="27" s="1"/>
  <c r="DR37" i="27"/>
  <c r="U37" i="27" s="1"/>
  <c r="X6" i="27" s="1"/>
  <c r="DR28" i="27"/>
  <c r="U28" i="27" s="1"/>
  <c r="BW28" i="27" s="1"/>
  <c r="DQ48" i="27"/>
  <c r="T48" i="27" s="1"/>
  <c r="DG43" i="30"/>
  <c r="BW24" i="27"/>
  <c r="X7" i="27"/>
  <c r="BW36" i="27"/>
  <c r="BW25" i="27"/>
  <c r="BV28" i="27"/>
  <c r="DQ35" i="27"/>
  <c r="T35" i="27" s="1"/>
  <c r="BV35" i="27" s="1"/>
  <c r="BW37" i="27"/>
  <c r="DR35" i="27"/>
  <c r="U35" i="27" s="1"/>
  <c r="DQ57" i="27"/>
  <c r="T57" i="27" s="1"/>
  <c r="DG32" i="30"/>
  <c r="DG31" i="30"/>
  <c r="DG27" i="30"/>
  <c r="DG34" i="30"/>
  <c r="DG40" i="30"/>
  <c r="DQ47" i="27"/>
  <c r="T47" i="27" s="1"/>
  <c r="BV47" i="27" s="1"/>
  <c r="DG36" i="30"/>
  <c r="DQ56" i="27"/>
  <c r="T56" i="27" s="1"/>
  <c r="DQ45" i="27"/>
  <c r="T45" i="27" s="1"/>
  <c r="BV45" i="27" s="1"/>
  <c r="DR23" i="27"/>
  <c r="DR53" i="27"/>
  <c r="U53" i="27" s="1"/>
  <c r="DG37" i="30" l="1"/>
  <c r="DG35" i="30"/>
  <c r="DH11" i="30"/>
  <c r="DJ11" i="30"/>
  <c r="DH19" i="30"/>
  <c r="DJ19" i="30"/>
  <c r="DG29" i="30"/>
  <c r="DG30" i="30"/>
  <c r="DG21" i="30"/>
  <c r="DJ15" i="30"/>
  <c r="DH15" i="30"/>
  <c r="DJ7" i="30"/>
  <c r="DH7" i="30"/>
  <c r="DG26" i="30"/>
  <c r="DJ26" i="30" s="1"/>
  <c r="DG24" i="30"/>
  <c r="DJ38" i="30"/>
  <c r="DH38" i="30"/>
  <c r="DH27" i="30"/>
  <c r="DJ27" i="30"/>
  <c r="DJ43" i="30"/>
  <c r="DH43" i="30"/>
  <c r="DJ36" i="30"/>
  <c r="DH36" i="30"/>
  <c r="DH34" i="30"/>
  <c r="DJ34" i="30"/>
  <c r="DJ31" i="30"/>
  <c r="DH31" i="30"/>
  <c r="DH29" i="30"/>
  <c r="DJ29" i="30"/>
  <c r="DJ40" i="30"/>
  <c r="DH40" i="30"/>
  <c r="DJ37" i="30"/>
  <c r="DH37" i="30"/>
  <c r="DH32" i="30"/>
  <c r="DJ32" i="30"/>
  <c r="DH20" i="30"/>
  <c r="DJ20" i="30"/>
  <c r="DR45" i="27"/>
  <c r="U45" i="27" s="1"/>
  <c r="BW45" i="27" s="1"/>
  <c r="DR51" i="27"/>
  <c r="U51" i="27" s="1"/>
  <c r="DR43" i="27"/>
  <c r="U43" i="27" s="1"/>
  <c r="X10" i="27" s="1"/>
  <c r="X3" i="27"/>
  <c r="DR56" i="27"/>
  <c r="U56" i="27" s="1"/>
  <c r="DR52" i="27"/>
  <c r="U52" i="27" s="1"/>
  <c r="DR46" i="27"/>
  <c r="U46" i="27" s="1"/>
  <c r="BW46" i="27" s="1"/>
  <c r="DR47" i="27"/>
  <c r="U47" i="27" s="1"/>
  <c r="BW47" i="27" s="1"/>
  <c r="DR48" i="27"/>
  <c r="U48" i="27" s="1"/>
  <c r="AD40" i="27"/>
  <c r="U23" i="27"/>
  <c r="X4" i="27"/>
  <c r="BW35" i="27"/>
  <c r="X5" i="27"/>
  <c r="DQ50" i="27"/>
  <c r="T50" i="27" s="1"/>
  <c r="T14" i="27" s="1"/>
  <c r="AD42" i="27"/>
  <c r="BW43" i="27" l="1"/>
  <c r="X11" i="27"/>
  <c r="DH21" i="30"/>
  <c r="DJ21" i="30"/>
  <c r="DH26" i="30"/>
  <c r="DH30" i="30"/>
  <c r="DJ30" i="30"/>
  <c r="DJ24" i="30"/>
  <c r="DH24" i="30"/>
  <c r="DH35" i="30"/>
  <c r="DJ35" i="30"/>
  <c r="AH43" i="27"/>
  <c r="AI37" i="27"/>
  <c r="AI36" i="27"/>
  <c r="AI32" i="27"/>
  <c r="AI34" i="27"/>
  <c r="AI30" i="27"/>
  <c r="AI35" i="27"/>
  <c r="AI33" i="27"/>
  <c r="AI31" i="27"/>
  <c r="DR50" i="27"/>
  <c r="U50" i="27" s="1"/>
  <c r="DR57" i="27"/>
  <c r="U57" i="27" s="1"/>
  <c r="R52" i="27" s="1"/>
  <c r="R46" i="27"/>
  <c r="R48" i="27"/>
  <c r="BW23" i="27"/>
  <c r="R23" i="27"/>
  <c r="R26" i="27"/>
  <c r="R33" i="27"/>
  <c r="R22" i="27"/>
  <c r="R41" i="27"/>
  <c r="U14" i="27"/>
  <c r="R14" i="27" s="1"/>
  <c r="R55" i="27"/>
  <c r="R32" i="27"/>
  <c r="AD48" i="27"/>
  <c r="R18" i="27"/>
  <c r="R20" i="27"/>
  <c r="R21" i="27"/>
  <c r="R34" i="27"/>
  <c r="R16" i="27"/>
  <c r="R30" i="27"/>
  <c r="R54" i="27"/>
  <c r="R28" i="27"/>
  <c r="R24" i="27"/>
  <c r="R36" i="27"/>
  <c r="R57" i="27"/>
  <c r="R38" i="27"/>
  <c r="R49" i="27"/>
  <c r="R25" i="27"/>
  <c r="R42" i="27"/>
  <c r="BV16" i="30"/>
  <c r="BV19" i="30"/>
  <c r="AJ32" i="27" l="1"/>
  <c r="AH32" i="27" s="1"/>
  <c r="AJ34" i="27"/>
  <c r="AH34" i="27" s="1"/>
  <c r="AJ31" i="27"/>
  <c r="AH31" i="27" s="1"/>
  <c r="AJ36" i="27"/>
  <c r="AH36" i="27" s="1"/>
  <c r="AJ30" i="27"/>
  <c r="AH30" i="27" s="1"/>
  <c r="AJ33" i="27"/>
  <c r="AH33" i="27" s="1"/>
  <c r="AJ35" i="27"/>
  <c r="AH35" i="27" s="1"/>
  <c r="R56" i="27"/>
  <c r="R31" i="27"/>
  <c r="R40" i="27"/>
  <c r="AJ37" i="27"/>
  <c r="AH37" i="27" s="1"/>
  <c r="R43" i="27"/>
  <c r="AD43" i="27"/>
  <c r="R53" i="27"/>
  <c r="R51" i="27"/>
  <c r="R50" i="27"/>
  <c r="R44" i="27"/>
  <c r="R37" i="27"/>
  <c r="R29" i="27"/>
  <c r="R19" i="27"/>
  <c r="R27" i="27"/>
  <c r="R39" i="27"/>
  <c r="R17" i="27"/>
  <c r="R47" i="27"/>
  <c r="R35" i="27"/>
  <c r="R45" i="27"/>
  <c r="A10" i="26"/>
  <c r="A8" i="26"/>
  <c r="AH38" i="27" l="1"/>
  <c r="AI3" i="27"/>
  <c r="AH3" i="27" s="1"/>
  <c r="AI7" i="27"/>
  <c r="AH7" i="27" s="1"/>
  <c r="AI12" i="27"/>
  <c r="AH12" i="27" s="1"/>
  <c r="AI4" i="27"/>
  <c r="AH4" i="27" s="1"/>
  <c r="AI11" i="27"/>
  <c r="AH11" i="27" s="1"/>
  <c r="AI8" i="27"/>
  <c r="AH8" i="27" s="1"/>
  <c r="AI5" i="27"/>
  <c r="AH5" i="27" s="1"/>
  <c r="AI9" i="27"/>
  <c r="AH9" i="27" s="1"/>
  <c r="AI10" i="27"/>
  <c r="AH10" i="27" s="1"/>
  <c r="AI6" i="27"/>
  <c r="AH6" i="27" s="1"/>
  <c r="AH2" i="27"/>
  <c r="AH13" i="27"/>
  <c r="AD17" i="27" l="1"/>
  <c r="AE17" i="27" s="1"/>
  <c r="AD16" i="27"/>
  <c r="AD21" i="27"/>
  <c r="AE21" i="27" s="1"/>
  <c r="AD19" i="27"/>
  <c r="AE19" i="27" s="1"/>
  <c r="AD23" i="27"/>
  <c r="AE23" i="27" s="1"/>
  <c r="AD18" i="27"/>
  <c r="AE18" i="27" s="1"/>
  <c r="AD20" i="27"/>
  <c r="AE20" i="27" s="1"/>
  <c r="AA18" i="27"/>
  <c r="AA22" i="27"/>
  <c r="AA23" i="27"/>
  <c r="AA21" i="27"/>
  <c r="AA19" i="27"/>
  <c r="AA16" i="27"/>
  <c r="AA20" i="27"/>
  <c r="AA24" i="27"/>
  <c r="AA17" i="27"/>
  <c r="AA25" i="27"/>
  <c r="AD25" i="27"/>
  <c r="AE25" i="27" s="1"/>
  <c r="AD24" i="27"/>
  <c r="AE24" i="27" s="1"/>
  <c r="AD22" i="27"/>
  <c r="AE22" i="27" s="1"/>
  <c r="AE16" i="27" l="1"/>
  <c r="AD26" i="27"/>
  <c r="AA51" i="27"/>
  <c r="AA52" i="27"/>
  <c r="AA53" i="27"/>
  <c r="AB24" i="27"/>
  <c r="AB19" i="27"/>
  <c r="AB18" i="27"/>
  <c r="AB20" i="27"/>
  <c r="AA55" i="27"/>
  <c r="AB25" i="27"/>
  <c r="AB16" i="27"/>
  <c r="AB21" i="27"/>
  <c r="AA54" i="27"/>
  <c r="AB17" i="27"/>
  <c r="AB23" i="27"/>
  <c r="AB22" i="27"/>
</calcChain>
</file>

<file path=xl/sharedStrings.xml><?xml version="1.0" encoding="utf-8"?>
<sst xmlns="http://schemas.openxmlformats.org/spreadsheetml/2006/main" count="1453" uniqueCount="815">
  <si>
    <t>Muzillac Tennis de Table</t>
  </si>
  <si>
    <t>ORDRE DU JOUR</t>
  </si>
  <si>
    <t>-  RAPPORT D'ACTIVITES</t>
  </si>
  <si>
    <t>-  BILAN SPORTIF</t>
  </si>
  <si>
    <t>-  TABLEAU D'HONNEUR</t>
  </si>
  <si>
    <t>-  ORIENTATIONS</t>
  </si>
  <si>
    <t>Retrouvez les infos et les photos du club sur :</t>
  </si>
  <si>
    <t>http://muzillactennisdetable.hautetfort.com</t>
  </si>
  <si>
    <t>visites</t>
  </si>
  <si>
    <t>pages lues</t>
  </si>
  <si>
    <t>total</t>
  </si>
  <si>
    <t>moy./mois</t>
  </si>
  <si>
    <t>Nous avons participé</t>
  </si>
  <si>
    <t>Nous avons organisé</t>
  </si>
  <si>
    <t>4 réunions de comité directeur : juillet, septembre, janvier et avril</t>
  </si>
  <si>
    <t>Vict</t>
  </si>
  <si>
    <t>Déf</t>
  </si>
  <si>
    <t>Clt</t>
  </si>
  <si>
    <t>rang actualisé</t>
  </si>
  <si>
    <t>Classement Septembre</t>
  </si>
  <si>
    <t>Classement actualisé</t>
  </si>
  <si>
    <t>septembre</t>
  </si>
  <si>
    <t xml:space="preserve">progression annuelle </t>
  </si>
  <si>
    <t>pourcentage général</t>
  </si>
  <si>
    <t>"TOP 10"</t>
  </si>
  <si>
    <t xml:space="preserve">Classements </t>
  </si>
  <si>
    <t>moyens</t>
  </si>
  <si>
    <t>actualisés</t>
  </si>
  <si>
    <t>1 .Engager des équipes adultes et jeunes en championnat</t>
  </si>
  <si>
    <t>2. Engager des licenciés adultes et jeunes en compétition individuelle</t>
  </si>
  <si>
    <t>3. Organiser l'activité loisirs pour les adultes et les jeunes</t>
  </si>
  <si>
    <t>5. Organiser l'encadrement des jeunes licenciés loisirs</t>
  </si>
  <si>
    <t>6. Organiser les créneaux horaires pour les entraînements</t>
  </si>
  <si>
    <t>7. Engager des licenciés volontaires dans des formations techniques</t>
  </si>
  <si>
    <t>8. Améliorer l'organisation de l'activité tennis de table</t>
  </si>
  <si>
    <t>9. Participer aux manifestations muzillacaises et à leur préparation</t>
  </si>
  <si>
    <t>Promo</t>
  </si>
  <si>
    <t>Catégorie</t>
  </si>
  <si>
    <t>COMPTE DE RESULTAT ( FONCTIONNEMENT )</t>
  </si>
  <si>
    <t>CHARGES</t>
  </si>
  <si>
    <t>PRODUITS</t>
  </si>
  <si>
    <t>Réal.</t>
  </si>
  <si>
    <t>Prévis.</t>
  </si>
  <si>
    <t>COMITE  DEPARTEMENTAL</t>
  </si>
  <si>
    <t>COTISATIONS ET LICENCES</t>
  </si>
  <si>
    <t>Réaffiliation et cotisation</t>
  </si>
  <si>
    <t>Traditionnels</t>
  </si>
  <si>
    <t>Licences</t>
  </si>
  <si>
    <t>Loisirs</t>
  </si>
  <si>
    <t>Autres</t>
  </si>
  <si>
    <t>Formations techniques et stages</t>
  </si>
  <si>
    <t>SECRETARIAT</t>
  </si>
  <si>
    <t>EPREUVES ET MANIFESTATIONS</t>
  </si>
  <si>
    <t>Fournitures de bureau</t>
  </si>
  <si>
    <t>Tournoi</t>
  </si>
  <si>
    <t xml:space="preserve">Frais informatiques </t>
  </si>
  <si>
    <t>MISSIONS  RECEPTIONS</t>
  </si>
  <si>
    <t>SUBVENTIONS  DE</t>
  </si>
  <si>
    <t>FONCTIONNEMENT</t>
  </si>
  <si>
    <t>Equipes visiteuses</t>
  </si>
  <si>
    <t>Comité directeur et AG</t>
  </si>
  <si>
    <t>OMS</t>
  </si>
  <si>
    <t>INFORMATIONS PUBLICITE</t>
  </si>
  <si>
    <t>PRODUITS EXCEPTIONNELS</t>
  </si>
  <si>
    <t>Abonnements</t>
  </si>
  <si>
    <t>Cession matériel</t>
  </si>
  <si>
    <t>Bulletin-Compte rendu-PV</t>
  </si>
  <si>
    <t>DEPLACEMENTS/COMPETITIONS</t>
  </si>
  <si>
    <t>DEPLACEMENTS/SALLE ET STAGES</t>
  </si>
  <si>
    <t>CHARGES FINANCIERES</t>
  </si>
  <si>
    <t>PRODUITS FINANCIERS</t>
  </si>
  <si>
    <t>AUTRES CHARGES</t>
  </si>
  <si>
    <t>AUTRES PRODUITS</t>
  </si>
  <si>
    <t>EQUIPEMENTS</t>
  </si>
  <si>
    <t>SPONSORING ET PARRAINAGE</t>
  </si>
  <si>
    <t>Maillots et survêtements</t>
  </si>
  <si>
    <t>MATERIELS</t>
  </si>
  <si>
    <t>REPRISE PROVISIONS POUR</t>
  </si>
  <si>
    <t>INVESTISSEMENTS</t>
  </si>
  <si>
    <t>Tables,séparations,marqueurs</t>
  </si>
  <si>
    <t>Frais d'entretien</t>
  </si>
  <si>
    <t>SOUS TOTAL</t>
  </si>
  <si>
    <t>RESULTAT DE L'EXERCICE (excédent de produits)</t>
  </si>
  <si>
    <t>RESULTAT DE L'EXERCICE (excédent de charges)</t>
  </si>
  <si>
    <t>TOTAL GENERAL</t>
  </si>
  <si>
    <t>DISPONIBILITES FINANCIERES DE L'ASSOCIATION</t>
  </si>
  <si>
    <t>COMPTE CHEQUE ……………………………………………………………………………………………………</t>
  </si>
  <si>
    <t>LIVRET ……………………………..…………………….……………………………………………………….....…</t>
  </si>
  <si>
    <r>
      <t xml:space="preserve">TOTAL </t>
    </r>
    <r>
      <rPr>
        <sz val="10"/>
        <rFont val="Arial"/>
        <family val="2"/>
      </rPr>
      <t>………………………………………………………………………………………………………………….</t>
    </r>
  </si>
  <si>
    <t>Le Trésorier,</t>
  </si>
  <si>
    <t>Guy Colombel</t>
  </si>
  <si>
    <t>Couture Christophe</t>
  </si>
  <si>
    <t>Vilain Benjamin</t>
  </si>
  <si>
    <t>Zaragoza José</t>
  </si>
  <si>
    <t>Hubert Bruno</t>
  </si>
  <si>
    <t>Colombel Guy</t>
  </si>
  <si>
    <t>Fatin  Denis</t>
  </si>
  <si>
    <t>Baudais Luc</t>
  </si>
  <si>
    <t>Mierzwa Julien</t>
  </si>
  <si>
    <t>Touche Rémy</t>
  </si>
  <si>
    <r>
      <t xml:space="preserve">       </t>
    </r>
    <r>
      <rPr>
        <u/>
        <sz val="11"/>
        <rFont val="Times New Roman"/>
        <family val="1"/>
      </rPr>
      <t>Présents MTT</t>
    </r>
  </si>
  <si>
    <t>Excusés</t>
  </si>
  <si>
    <t>- G.Colombel</t>
  </si>
  <si>
    <t xml:space="preserve">-Le président de l’OMS : </t>
  </si>
  <si>
    <t>- R. Touche</t>
  </si>
  <si>
    <t>- A.Dréan</t>
  </si>
  <si>
    <t>- M.Divet</t>
  </si>
  <si>
    <t>- B.Hubert</t>
  </si>
  <si>
    <t>- J.Turpin</t>
  </si>
  <si>
    <t>- E.Boulaire</t>
  </si>
  <si>
    <t>- C.Couture</t>
  </si>
  <si>
    <t>- N.Couture</t>
  </si>
  <si>
    <t>- B.Dabertrand</t>
  </si>
  <si>
    <t>1. - Rapport d'activités </t>
  </si>
  <si>
    <t> </t>
  </si>
  <si>
    <t>Participations</t>
  </si>
  <si>
    <t>Organisations</t>
  </si>
  <si>
    <t>2- Bilan Sportif</t>
  </si>
  <si>
    <t>sont récompensés  :</t>
  </si>
  <si>
    <t>4- Bilan financier</t>
  </si>
  <si>
    <t>- Affichage cantonal</t>
  </si>
  <si>
    <t>- Installation des tables coordonnée par Guy Guillotin.</t>
  </si>
  <si>
    <t>- Bruno Hubert  et Guy Guillotin à l'organisation sportive.</t>
  </si>
  <si>
    <t>- Démarcher pour récupérer des lots.</t>
  </si>
  <si>
    <t>6- Election du Comité Directeur par l'Assemblée Générale</t>
  </si>
  <si>
    <t>Sont élus à l'unanimité :</t>
  </si>
  <si>
    <t>- D.Logodin</t>
  </si>
  <si>
    <t>- M.P Guillotin</t>
  </si>
  <si>
    <t xml:space="preserve">- J.Turpin     </t>
  </si>
  <si>
    <t xml:space="preserve">- D.Fatin </t>
  </si>
  <si>
    <t>Le secrétaire.</t>
  </si>
  <si>
    <t>Christophe COUTURE</t>
  </si>
  <si>
    <t>octobre</t>
  </si>
  <si>
    <t>novembre</t>
  </si>
  <si>
    <t>décembre</t>
  </si>
  <si>
    <t>nombre de victoires</t>
  </si>
  <si>
    <t>nombre de matchs</t>
  </si>
  <si>
    <t>Le Jallé Mickael</t>
  </si>
  <si>
    <t>Bruno Hubert</t>
  </si>
  <si>
    <t>- club cantonal et même au delà (1/3 hors Muzillac)</t>
  </si>
  <si>
    <t>Nous sommes</t>
  </si>
  <si>
    <t>-  BILAN FINANCIER</t>
  </si>
  <si>
    <t/>
  </si>
  <si>
    <t>nombre de perfs</t>
  </si>
  <si>
    <t>nombre de contres</t>
  </si>
  <si>
    <t>- H. Leblanc</t>
  </si>
  <si>
    <t>- J.Mierzwa</t>
  </si>
  <si>
    <t>- G.Guillotin</t>
  </si>
  <si>
    <t>- L.Baudais</t>
  </si>
  <si>
    <t>- B.Vilain</t>
  </si>
  <si>
    <t>Présents (extérieurs)</t>
  </si>
  <si>
    <t>- G. Guillotin ( associé)</t>
  </si>
  <si>
    <t>- B.Hubert (associé)</t>
  </si>
  <si>
    <t>Chemisettes</t>
  </si>
  <si>
    <t>Tee-shirts</t>
  </si>
  <si>
    <t>x</t>
  </si>
  <si>
    <t>TOTAL</t>
  </si>
  <si>
    <t xml:space="preserve">Vente maillots </t>
  </si>
  <si>
    <t>Boulaire Emile</t>
  </si>
  <si>
    <t>Logodin Didier</t>
  </si>
  <si>
    <t>5ème</t>
  </si>
  <si>
    <t>2ème</t>
  </si>
  <si>
    <t>Turpin Jacques</t>
  </si>
  <si>
    <t>Couture Nicolas</t>
  </si>
  <si>
    <t>Cottignies Hubert</t>
  </si>
  <si>
    <t>Dabertrand  Benoit</t>
  </si>
  <si>
    <t>Dayot Franck</t>
  </si>
  <si>
    <t>Drean Anthony</t>
  </si>
  <si>
    <t>Guillotin Marie-Paule</t>
  </si>
  <si>
    <t>Le Noan Maxence</t>
  </si>
  <si>
    <t>Raufflet Quentin</t>
  </si>
  <si>
    <t>Recher Sébastien</t>
  </si>
  <si>
    <t>Pts</t>
  </si>
  <si>
    <t>vic</t>
  </si>
  <si>
    <t>nul</t>
  </si>
  <si>
    <t>déf</t>
  </si>
  <si>
    <t>PG</t>
  </si>
  <si>
    <t>PP</t>
  </si>
  <si>
    <t>+ 1</t>
  </si>
  <si>
    <t>+ 2</t>
  </si>
  <si>
    <t>75 à 70</t>
  </si>
  <si>
    <t>NC à 80</t>
  </si>
  <si>
    <t>70 à 65</t>
  </si>
  <si>
    <t>Tournois internes et galette des rois : fin Janvier</t>
  </si>
  <si>
    <t>Formations (75% prise en charge OMS)</t>
  </si>
  <si>
    <t>Timbres,téléphone et fax</t>
  </si>
  <si>
    <t>points</t>
  </si>
  <si>
    <t>nbre de matchs</t>
  </si>
  <si>
    <t>2008/2009</t>
  </si>
  <si>
    <t>2007/2008</t>
  </si>
  <si>
    <t>2006/2007</t>
  </si>
  <si>
    <t>2005/2006</t>
  </si>
  <si>
    <t>2004/2005</t>
  </si>
  <si>
    <t>2003/2004</t>
  </si>
  <si>
    <t>55 adhérents</t>
  </si>
  <si>
    <t>62 adhérents</t>
  </si>
  <si>
    <t>45 adhérents</t>
  </si>
  <si>
    <t>48 adhérents</t>
  </si>
  <si>
    <t>27 "compétitions" dont 10 jeunes</t>
  </si>
  <si>
    <t>31 "compétitions" dont 8 jeunes</t>
  </si>
  <si>
    <t>23 "compétitions" dont 4 jeunes</t>
  </si>
  <si>
    <t>21 "compétitions" dont 6 jeunes</t>
  </si>
  <si>
    <t>20 "compétitions" dont 7 jeunes</t>
  </si>
  <si>
    <t>25 "compétitions" dont 8 jeunes</t>
  </si>
  <si>
    <t>meilleures progressions</t>
  </si>
  <si>
    <t>28 "loisirs" dont 17 jeunes</t>
  </si>
  <si>
    <t>31 "loisirs" dont 19 jeunes</t>
  </si>
  <si>
    <t>22 "loisirs" dont 14 jeunes</t>
  </si>
  <si>
    <t>27 "loisirs" dont 12 jeunes</t>
  </si>
  <si>
    <t>25 "loisirs" dont 10 jeunes</t>
  </si>
  <si>
    <t>30 "loisirs" dont 9 jeunes</t>
  </si>
  <si>
    <t>7 féminines dont 2 jeunes</t>
  </si>
  <si>
    <t>11 féminines dont 4 jeunes</t>
  </si>
  <si>
    <t>8 féminines dont 2 jeunes</t>
  </si>
  <si>
    <t>9 féminines dont 2 jeunes</t>
  </si>
  <si>
    <t>5 féminines dont 0 jeune</t>
  </si>
  <si>
    <t>Muzillac :</t>
  </si>
  <si>
    <t>Le Guerno :</t>
  </si>
  <si>
    <t>Billiers :</t>
  </si>
  <si>
    <t>Ambon :</t>
  </si>
  <si>
    <t>Noyal Muzillac :</t>
  </si>
  <si>
    <t>Lauzach :</t>
  </si>
  <si>
    <t>Autres :</t>
  </si>
  <si>
    <t>Age moyen</t>
  </si>
  <si>
    <t>hors jeunes</t>
  </si>
  <si>
    <t>Traditionnelle</t>
  </si>
  <si>
    <t>max mensuel</t>
  </si>
  <si>
    <t>Ensemble</t>
  </si>
  <si>
    <t>TOP 10</t>
  </si>
  <si>
    <t>Le ''benjamin'' a 10 ans et ''l'ainé'' 73 ans</t>
  </si>
  <si>
    <t>Le ''benjamin'' a 8 ans et ''l'ainé'' 72 ans</t>
  </si>
  <si>
    <t>Le ''benjamin'' a 9 ans et ''l'ainé'' 71 ans</t>
  </si>
  <si>
    <t>Le ''benjamin'' a 8 ans et ''l'ainé'' 70 ans</t>
  </si>
  <si>
    <t>Le ''benjamin'' a 8 ans et ''l'ainé'' 69 ans</t>
  </si>
  <si>
    <t>Le ''benjamin'' a 9 ans et ''l'ainé'' 68 ans</t>
  </si>
  <si>
    <t>8 joueurs en critérium</t>
  </si>
  <si>
    <t>7 joueurs en critérium</t>
  </si>
  <si>
    <t>6 joueurs en critérium</t>
  </si>
  <si>
    <t>9 joueurs en critérium</t>
  </si>
  <si>
    <t>2 joueurs en critérium</t>
  </si>
  <si>
    <t>4 équipes engagées en Championnat</t>
  </si>
  <si>
    <t>3 équipes engagées en Championnat</t>
  </si>
  <si>
    <t>MTT 1: phase 1 en D2 (1ère); phase 2 en D1 (6ème)</t>
  </si>
  <si>
    <t>MTT 1: ph 1 en D2 (2ème); ph 2 en D2 (4ème)</t>
  </si>
  <si>
    <t>MTT 1: ph 1 en D2 (4ème); ph 2 en D2 (3ème)</t>
  </si>
  <si>
    <t>MTT 1: ph 1 en D2 (1ère); ph 2 en D1 (7ème)</t>
  </si>
  <si>
    <t>MTT 1: ph 1 en D1 (7ème); ph 2 en D2 (6ème)</t>
  </si>
  <si>
    <t>MTT 2: D3 (6ème)</t>
  </si>
  <si>
    <t>MTT 2: phase 1 en D2 (7ème); phase 2 en D2 (8ème)</t>
  </si>
  <si>
    <t>MTT 2: D3 (1ère) montée en D2</t>
  </si>
  <si>
    <t>MTT 2: D3 (4ème)</t>
  </si>
  <si>
    <t>MTT 3: D3 (5ème)</t>
  </si>
  <si>
    <t>MTT 3: D3 (2ème)</t>
  </si>
  <si>
    <t>MTT 3: D3 (3ème)</t>
  </si>
  <si>
    <t>MTT 3: D4 (1ère) montée en D3</t>
  </si>
  <si>
    <t>MTT 3: D4 (4ème)</t>
  </si>
  <si>
    <t>MTT 3: D4 (2ème)</t>
  </si>
  <si>
    <t>MTT 4: D4 (1ère) montée en D3</t>
  </si>
  <si>
    <t>MTT 4: D4 (3ème)</t>
  </si>
  <si>
    <t>MTT 4: D4 (4ème)</t>
  </si>
  <si>
    <t>MTT 4: D4 (7ème)</t>
  </si>
  <si>
    <t>MTT 4: D4 (5ème)</t>
  </si>
  <si>
    <t>1 équipe jeune : cadet (ph 1: 6ème ; ph 2:2nd)</t>
  </si>
  <si>
    <t>1 équipe jeune : junior (ph 1: 6ème ; ph 2: 1ère)</t>
  </si>
  <si>
    <t>1 équipe jeune : cadet</t>
  </si>
  <si>
    <t>meilleures pourcentages</t>
  </si>
  <si>
    <t>30 rencontres gagnées / 54 disputées</t>
  </si>
  <si>
    <t>29 rencontres gagnées / 63 disputées</t>
  </si>
  <si>
    <t>33 rencontres gagnées / 52 disputées</t>
  </si>
  <si>
    <t>27 rencontres gagnées / 56 disputées</t>
  </si>
  <si>
    <t>27 rencontres gagnées / 48 disputées</t>
  </si>
  <si>
    <t>27 rencontres gagnées / 52 disputées</t>
  </si>
  <si>
    <t>470 victoires / 892 simples (53%)</t>
  </si>
  <si>
    <t>479 victoires / 975 simples (49%)</t>
  </si>
  <si>
    <t>504 victoires/ 860 simples (59 %)</t>
  </si>
  <si>
    <t>480 victoires/ 924 simples (52 %)</t>
  </si>
  <si>
    <t>388 victoires/ 731 simples ( 53 %)</t>
  </si>
  <si>
    <t>400 victoires/ 860 simples (47 %)</t>
  </si>
  <si>
    <t>2 équipes en coupe:</t>
  </si>
  <si>
    <t>3 équipes en coupe:</t>
  </si>
  <si>
    <t>1 équipe en coupe:</t>
  </si>
  <si>
    <t>A: poule</t>
  </si>
  <si>
    <t>A: 1/8 (AJK Vannes)</t>
  </si>
  <si>
    <t>A: 3ème de poule</t>
  </si>
  <si>
    <t>B: poule</t>
  </si>
  <si>
    <t>B: 1/8 (Arradon)</t>
  </si>
  <si>
    <t>B:1/2 finaliste ( Ploermel)</t>
  </si>
  <si>
    <t>B:1/8 de finale (St Nolff)</t>
  </si>
  <si>
    <t>B:1/4  finale (Questembert)</t>
  </si>
  <si>
    <t>B:1/8 de finale (forfait…)</t>
  </si>
  <si>
    <t>Jeunes : 1/4 (St Thuriau)</t>
  </si>
  <si>
    <t>Jeunes : 1/2 finaliste (Ménimur)</t>
  </si>
  <si>
    <t>Moyenne de points</t>
  </si>
  <si>
    <t>Sept</t>
  </si>
  <si>
    <t>Mai</t>
  </si>
  <si>
    <t>les plus assidus</t>
  </si>
  <si>
    <t>homme</t>
  </si>
  <si>
    <t>femme</t>
  </si>
  <si>
    <t>TOUS</t>
  </si>
  <si>
    <t xml:space="preserve"> points gagnés en moyenne par joueur(se)</t>
  </si>
  <si>
    <t>35 points gagnés en moyenne par joueur(se)</t>
  </si>
  <si>
    <t>46 points gagnés en moyenne par joueur(se)</t>
  </si>
  <si>
    <t>26 points gagnés en moyenne par joueur(se)</t>
  </si>
  <si>
    <t>14 points gagnés en moyenne par joueur(se)</t>
  </si>
  <si>
    <t>NC à 65</t>
  </si>
  <si>
    <t>NC à 70</t>
  </si>
  <si>
    <t>80 à 70</t>
  </si>
  <si>
    <t>Bonnet  Cédric</t>
  </si>
  <si>
    <t>NC à 75</t>
  </si>
  <si>
    <t>Bonnet Mathieu</t>
  </si>
  <si>
    <t>65 à 55</t>
  </si>
  <si>
    <t>Hubert Antoine</t>
  </si>
  <si>
    <t>85 à 75</t>
  </si>
  <si>
    <t>Toublanc Manuel</t>
  </si>
  <si>
    <t>Bouillard  Anita</t>
  </si>
  <si>
    <t>75F à 70F</t>
  </si>
  <si>
    <t>85F à 75F</t>
  </si>
  <si>
    <t>Rivalin Brendan</t>
  </si>
  <si>
    <t>Brooker Mark</t>
  </si>
  <si>
    <t>80 à 75</t>
  </si>
  <si>
    <t>65 à 60</t>
  </si>
  <si>
    <t>Dabertrand  Benoît</t>
  </si>
  <si>
    <t>Le Cam Florence</t>
  </si>
  <si>
    <t>80F à 75F</t>
  </si>
  <si>
    <t>NC à 80F</t>
  </si>
  <si>
    <t>Guyot Aurélien</t>
  </si>
  <si>
    <t>NC à 85</t>
  </si>
  <si>
    <t>60 à 55</t>
  </si>
  <si>
    <t>55 à 50</t>
  </si>
  <si>
    <t>Le Masle Laurent</t>
  </si>
  <si>
    <t>Zaragoza José: +86 en Décembre</t>
  </si>
  <si>
    <t>Dayot Franck: +67 en Avril</t>
  </si>
  <si>
    <t>Couture Nicolas: +67 en Décembre</t>
  </si>
  <si>
    <t>Bonnet Cédric: +63 en Avril</t>
  </si>
  <si>
    <t>+ 5</t>
  </si>
  <si>
    <t>+2</t>
  </si>
  <si>
    <t>+1</t>
  </si>
  <si>
    <t>Tireau P-Alexandre</t>
  </si>
  <si>
    <t>+ 3</t>
  </si>
  <si>
    <t>+6</t>
  </si>
  <si>
    <t>+ 14</t>
  </si>
  <si>
    <t>+5</t>
  </si>
  <si>
    <t>+ 8</t>
  </si>
  <si>
    <t xml:space="preserve">Couture Christophe </t>
  </si>
  <si>
    <t xml:space="preserve">Hubert Antoine </t>
  </si>
  <si>
    <t xml:space="preserve">Fatin  Denis </t>
  </si>
  <si>
    <t xml:space="preserve">Boulaire Emile </t>
  </si>
  <si>
    <t xml:space="preserve">Turpin Jacques </t>
  </si>
  <si>
    <t>matchs</t>
  </si>
  <si>
    <t xml:space="preserve">Turpin Jacques  </t>
  </si>
  <si>
    <t>Bonnet  Mathieu</t>
  </si>
  <si>
    <t>Guyot Didier</t>
  </si>
  <si>
    <r>
      <t xml:space="preserve">MTT 1: phase 1 en D1 (7ème); </t>
    </r>
    <r>
      <rPr>
        <sz val="10"/>
        <rFont val="Arial"/>
        <family val="2"/>
      </rPr>
      <t>phase 2 en D2 (2ème)</t>
    </r>
  </si>
  <si>
    <r>
      <t>65 à 60</t>
    </r>
    <r>
      <rPr>
        <sz val="12"/>
        <rFont val="Comic Sans MS"/>
        <family val="4"/>
      </rPr>
      <t xml:space="preserve"> </t>
    </r>
  </si>
  <si>
    <t>- D.Fatin</t>
  </si>
  <si>
    <t>- Gwendal Le Gland</t>
  </si>
  <si>
    <t>- Gurvan Le Gland</t>
  </si>
  <si>
    <t>- B. Guehennec</t>
  </si>
  <si>
    <t>- M. Le Penhuizic</t>
  </si>
  <si>
    <t>- F.Lucas</t>
  </si>
  <si>
    <t>- P. Saloux</t>
  </si>
  <si>
    <t>- Q. Raufflet</t>
  </si>
  <si>
    <t>- M. Le Noan</t>
  </si>
  <si>
    <t>- J. Zaragoza</t>
  </si>
  <si>
    <t>- M. Kervinio</t>
  </si>
  <si>
    <t>- H. Cottignies</t>
  </si>
  <si>
    <t>- J-Paul Raufflet</t>
  </si>
  <si>
    <t>- Mr et Mme Le Gland</t>
  </si>
  <si>
    <t>- S. Recher</t>
  </si>
  <si>
    <t>+ 4</t>
  </si>
  <si>
    <t xml:space="preserve">- Photos : R.Touche </t>
  </si>
  <si>
    <t>Allano michel</t>
  </si>
  <si>
    <t>Guehennec Benoit</t>
  </si>
  <si>
    <t>Saloux Philippe</t>
  </si>
  <si>
    <t>Indemnité formation (Ligue)</t>
  </si>
  <si>
    <t>Baudais Juliette</t>
  </si>
  <si>
    <t>Engagements équipes (Cht , Coupe)</t>
  </si>
  <si>
    <t>- Stabilité à un bon niveau</t>
  </si>
  <si>
    <t>38 % de loisirs, 62 % de compétitions .</t>
  </si>
  <si>
    <t>- répartition 1/3;2/3 contre 1/2;1/2 les années précédentes</t>
  </si>
  <si>
    <t xml:space="preserve">51 % de jeunes, 49 % d’adultes </t>
  </si>
  <si>
    <t>- des joueurs de 9 à 73 ans</t>
  </si>
  <si>
    <t>- encore insuffisant malgré un regain en "Tradi"</t>
  </si>
  <si>
    <t xml:space="preserve">En coupe du comité, l’équipe 1 engagée dans le tableau B </t>
  </si>
  <si>
    <t xml:space="preserve">En coupe du comité, l’équipe 2 engagée dans le tableau B </t>
  </si>
  <si>
    <t>A titre individuel ,14 joueurs du club se sont engagés dans diverses compétitions et y ont tous brillé à diverses occasions.</t>
  </si>
  <si>
    <t>L'équipe ayant participé à la montée en  de .</t>
  </si>
  <si>
    <t xml:space="preserve"> pour leurs pourcentages : </t>
  </si>
  <si>
    <t xml:space="preserve"> pour leurs progressions : </t>
  </si>
  <si>
    <r>
      <t xml:space="preserve">sont félicités : </t>
    </r>
    <r>
      <rPr>
        <sz val="12"/>
        <rFont val="Arial"/>
        <family val="2"/>
      </rPr>
      <t xml:space="preserve"> pour leur parcours au championnat vétéran</t>
    </r>
  </si>
  <si>
    <t>Denis Fatin  pour toutes ses années au club et tout ce qu'il y a apporté !</t>
  </si>
  <si>
    <t xml:space="preserve">3- Orientations 2010/2011 </t>
  </si>
  <si>
    <t>-prix de la licence : Décision d'augmenter le prix de la licence pour la saison 2010/2011</t>
  </si>
  <si>
    <t>en répercutant la hausse du comité  …</t>
  </si>
  <si>
    <t>5-Tournoi du 29/05/10</t>
  </si>
  <si>
    <t>-   à la buvette ?</t>
  </si>
  <si>
    <r>
      <t>Benjamin Vilain</t>
    </r>
    <r>
      <rPr>
        <sz val="12"/>
        <rFont val="Arial"/>
        <family val="2"/>
      </rPr>
      <t xml:space="preserve"> se représente au poste de président et est réélu à l'unanimité.</t>
    </r>
  </si>
  <si>
    <t>vict</t>
  </si>
  <si>
    <t>ensemble</t>
  </si>
  <si>
    <t>2014 - 2015</t>
  </si>
  <si>
    <t>Vendredi 26 Juin</t>
  </si>
  <si>
    <t>CLOS des MOINES</t>
  </si>
  <si>
    <t>-  Election du comité directeur</t>
  </si>
  <si>
    <t>-  QUESTIONS Diverses</t>
  </si>
  <si>
    <t>+ Championnat du Morbihan, finales par classement…</t>
  </si>
  <si>
    <t>10 joueurs ont participé au critérium régional</t>
  </si>
  <si>
    <r>
      <t>Triathlon :</t>
    </r>
    <r>
      <rPr>
        <sz val="10"/>
        <rFont val="Arial"/>
        <family val="2"/>
      </rPr>
      <t>Luc, Benjamin, Corinne et Christophe y ont été signaleurs le 30/05 .</t>
    </r>
  </si>
  <si>
    <t>1 en R2, 1 en D1 ….(voir annexe)</t>
  </si>
  <si>
    <r>
      <t>Foulées muzillacaises:</t>
    </r>
    <r>
      <rPr>
        <i/>
        <sz val="10"/>
        <rFont val="Arial"/>
        <family val="2"/>
      </rPr>
      <t xml:space="preserve">  3 Mttistes  y ont été signaleurs</t>
    </r>
  </si>
  <si>
    <t>10 équipes ont été engagées en championnat</t>
  </si>
  <si>
    <t xml:space="preserve">pour Emmanuel et Christophe </t>
  </si>
  <si>
    <t xml:space="preserve">Déplacement à Hennebont </t>
  </si>
  <si>
    <r>
      <t>Formation d'aritres régionaux et de JA1</t>
    </r>
    <r>
      <rPr>
        <sz val="10"/>
        <rFont val="Arial"/>
        <family val="2"/>
      </rPr>
      <t xml:space="preserve"> les 03/10 et 11/11 Nov. à Lanester</t>
    </r>
  </si>
  <si>
    <r>
      <t>OMS</t>
    </r>
    <r>
      <rPr>
        <sz val="10"/>
        <rFont val="Arial"/>
        <family val="2"/>
      </rPr>
      <t> : Journée des inscriptions le Samedi 6 septembre</t>
    </r>
  </si>
  <si>
    <t xml:space="preserve">Entraînements les lundi, mercredi et vendredi </t>
  </si>
  <si>
    <r>
      <t>Comité départemental</t>
    </r>
    <r>
      <rPr>
        <sz val="10"/>
        <rFont val="Arial"/>
        <family val="2"/>
      </rPr>
      <t xml:space="preserve"> Samedi 20 Sept. 2015 à Muzillac.</t>
    </r>
  </si>
  <si>
    <t>Tournoi du 13/09 : 3 tableaux et 36 participants</t>
  </si>
  <si>
    <r>
      <t xml:space="preserve">BILAN          </t>
    </r>
    <r>
      <rPr>
        <b/>
        <sz val="14"/>
        <rFont val="Calibri"/>
        <family val="2"/>
        <scheme val="minor"/>
      </rPr>
      <t xml:space="preserve">Championnat par équipe                 saison 2014/2015 </t>
    </r>
    <r>
      <rPr>
        <b/>
        <sz val="14"/>
        <color rgb="FF0000FF"/>
        <rFont val="Calibri"/>
        <family val="2"/>
        <scheme val="minor"/>
      </rPr>
      <t xml:space="preserve">        Phase  2</t>
    </r>
  </si>
  <si>
    <t>Bilan</t>
  </si>
  <si>
    <t>Global</t>
  </si>
  <si>
    <t>En bas de page les stats complètes de chaque Joueur</t>
  </si>
  <si>
    <t>équipes</t>
  </si>
  <si>
    <t xml:space="preserve">sigle </t>
  </si>
  <si>
    <t>phase1</t>
  </si>
  <si>
    <t>phase2</t>
  </si>
  <si>
    <t>poule</t>
  </si>
  <si>
    <t>v+nph1</t>
  </si>
  <si>
    <t>v+nph2</t>
  </si>
  <si>
    <t>v+n</t>
  </si>
  <si>
    <t>vicph1</t>
  </si>
  <si>
    <t>vicph2</t>
  </si>
  <si>
    <t>joueurs</t>
  </si>
  <si>
    <t>%</t>
  </si>
  <si>
    <t>Joués</t>
  </si>
  <si>
    <t>Capitaine: TyMat</t>
  </si>
  <si>
    <t>Doubles</t>
  </si>
  <si>
    <t>Maintien en R2</t>
  </si>
  <si>
    <t>Capitaine: Clém</t>
  </si>
  <si>
    <t>Montée en Pré Régionale (seule équipe invaincue sur la saison)</t>
  </si>
  <si>
    <t>kptain:BG"come on"</t>
  </si>
  <si>
    <t>Maintien en haut de classement</t>
  </si>
  <si>
    <t>Capitaine: Luc</t>
  </si>
  <si>
    <t>Maintien assuré à la dernière journée …</t>
  </si>
  <si>
    <t>Capitaine: Benjamin</t>
  </si>
  <si>
    <t>Maintien à une belle 2nde place</t>
  </si>
  <si>
    <t>Capitaine: Emile</t>
  </si>
  <si>
    <t>Maintien à une très belle 2ème place</t>
  </si>
  <si>
    <t>Capitaine: Yannick</t>
  </si>
  <si>
    <t>Descente en D4</t>
  </si>
  <si>
    <t>Capitaine : Benoît</t>
  </si>
  <si>
    <t>Que du plaisir !</t>
  </si>
  <si>
    <t>Ph 1: Gain</t>
  </si>
  <si>
    <t>Ph1: Joués</t>
  </si>
  <si>
    <t>Ph2: Gain</t>
  </si>
  <si>
    <t>Ph2: Joués</t>
  </si>
  <si>
    <t>Ph 1 : %</t>
  </si>
  <si>
    <t>Ph 2 : %</t>
  </si>
  <si>
    <t>Saison Gain</t>
  </si>
  <si>
    <t>Saison Joués</t>
  </si>
  <si>
    <t>Saison %</t>
  </si>
  <si>
    <t>Journées Jouées</t>
  </si>
  <si>
    <t>Come On</t>
  </si>
  <si>
    <t>Dans ce tableau figurent les résultats de chacun des joueurs de MTT quelle que soit l'équipe dans laquelle il a joué. Ces  résultats sont rangés par %age décroissant.</t>
  </si>
  <si>
    <t>TOP "Perfs"</t>
  </si>
  <si>
    <t>janvier</t>
  </si>
  <si>
    <t>février</t>
  </si>
  <si>
    <t>mars</t>
  </si>
  <si>
    <t>avril</t>
  </si>
  <si>
    <t>mai</t>
  </si>
  <si>
    <t>juin</t>
  </si>
  <si>
    <t>Anti-TOP "Contres"</t>
  </si>
  <si>
    <t>juillet</t>
  </si>
  <si>
    <t>août</t>
  </si>
  <si>
    <t>NS : non significatif</t>
  </si>
  <si>
    <t>Répartition des matchs joués par classement</t>
  </si>
  <si>
    <t>points mensuels</t>
  </si>
  <si>
    <t>Moyennes :</t>
  </si>
  <si>
    <t>progression mois écoulé</t>
  </si>
  <si>
    <t>adversaire moyen rencontré</t>
  </si>
  <si>
    <t>Le MEILLEUR                            Joueur de l'année</t>
  </si>
  <si>
    <t>Les 10 Dates à venir</t>
  </si>
  <si>
    <t>Classements</t>
  </si>
  <si>
    <t>moyenne victoire</t>
  </si>
  <si>
    <t>moyennedéfaite</t>
  </si>
  <si>
    <t>moyenne</t>
  </si>
  <si>
    <t>Posit. relative</t>
  </si>
  <si>
    <t>Nom</t>
  </si>
  <si>
    <t>Prénom</t>
  </si>
  <si>
    <t>Classement officiel</t>
  </si>
  <si>
    <t>Points</t>
  </si>
  <si>
    <t>changement de classement</t>
  </si>
  <si>
    <t>Octobre</t>
  </si>
  <si>
    <t>Novembre</t>
  </si>
  <si>
    <t>Décembre</t>
  </si>
  <si>
    <t>Janvier</t>
  </si>
  <si>
    <t>Février</t>
  </si>
  <si>
    <t>Mars</t>
  </si>
  <si>
    <t>Avril</t>
  </si>
  <si>
    <t>Juin</t>
  </si>
  <si>
    <t>prog annuelle</t>
  </si>
  <si>
    <t>sexe</t>
  </si>
  <si>
    <t>mois en cours</t>
  </si>
  <si>
    <t>classement</t>
  </si>
  <si>
    <t>clt</t>
  </si>
  <si>
    <t>x si max</t>
  </si>
  <si>
    <t>points hommes septembre</t>
  </si>
  <si>
    <t>points hommes actualisé</t>
  </si>
  <si>
    <t>points femme sept</t>
  </si>
  <si>
    <t>points femme actualisé</t>
  </si>
  <si>
    <t>nbre de vict</t>
  </si>
  <si>
    <t>ALLANO</t>
  </si>
  <si>
    <t xml:space="preserve">Antoine </t>
  </si>
  <si>
    <t>570.00</t>
  </si>
  <si>
    <t>C2</t>
  </si>
  <si>
    <t xml:space="preserve">BAUDAIS </t>
  </si>
  <si>
    <t xml:space="preserve">Luc </t>
  </si>
  <si>
    <t>1040.00</t>
  </si>
  <si>
    <t>V2</t>
  </si>
  <si>
    <t xml:space="preserve">BOULAIRE </t>
  </si>
  <si>
    <t xml:space="preserve">Emile </t>
  </si>
  <si>
    <t>739.00</t>
  </si>
  <si>
    <t>V3</t>
  </si>
  <si>
    <t xml:space="preserve">BOUSSEAU </t>
  </si>
  <si>
    <t xml:space="preserve">Yannick </t>
  </si>
  <si>
    <t>726.00</t>
  </si>
  <si>
    <t>S</t>
  </si>
  <si>
    <t xml:space="preserve">BRETON </t>
  </si>
  <si>
    <t xml:space="preserve">Jean claude </t>
  </si>
  <si>
    <t>653.00</t>
  </si>
  <si>
    <t xml:space="preserve">BROSSAUD </t>
  </si>
  <si>
    <t xml:space="preserve">Maxime </t>
  </si>
  <si>
    <t>500.00</t>
  </si>
  <si>
    <t>M2</t>
  </si>
  <si>
    <t xml:space="preserve">COJEAN </t>
  </si>
  <si>
    <t xml:space="preserve">Youen </t>
  </si>
  <si>
    <t>554.00</t>
  </si>
  <si>
    <t>J1</t>
  </si>
  <si>
    <t xml:space="preserve">COLOMBEL </t>
  </si>
  <si>
    <t xml:space="preserve">Guy </t>
  </si>
  <si>
    <t>1060.00</t>
  </si>
  <si>
    <t xml:space="preserve">COUTURE </t>
  </si>
  <si>
    <t xml:space="preserve">Christophe </t>
  </si>
  <si>
    <t>1090.00</t>
  </si>
  <si>
    <t xml:space="preserve">CRAINEGUY </t>
  </si>
  <si>
    <t xml:space="preserve">David </t>
  </si>
  <si>
    <t>639.00</t>
  </si>
  <si>
    <t>V1</t>
  </si>
  <si>
    <t xml:space="preserve">FLEGEAU </t>
  </si>
  <si>
    <t xml:space="preserve">Matthieu </t>
  </si>
  <si>
    <t>1766.00</t>
  </si>
  <si>
    <t>Bravo à Martin,Franck H. , Quentin M. et Thierry Champions du Morbihan de D1 et bienvenue à nos mutés et revenants : Serge, Sullivan, Giovanni et Paolo + Léo et Patrice</t>
  </si>
  <si>
    <t xml:space="preserve">HUBERT </t>
  </si>
  <si>
    <t xml:space="preserve">Bruno </t>
  </si>
  <si>
    <t>962.00</t>
  </si>
  <si>
    <t xml:space="preserve">LE CAM </t>
  </si>
  <si>
    <t xml:space="preserve">Corentin </t>
  </si>
  <si>
    <t>556.00</t>
  </si>
  <si>
    <r>
      <t xml:space="preserve">Les "+" </t>
    </r>
    <r>
      <rPr>
        <b/>
        <i/>
        <sz val="14"/>
        <rFont val="Arial"/>
        <family val="2"/>
      </rPr>
      <t>joueurs !!</t>
    </r>
  </si>
  <si>
    <t xml:space="preserve">LE GARNEC </t>
  </si>
  <si>
    <t xml:space="preserve">Sacha </t>
  </si>
  <si>
    <t>736.00</t>
  </si>
  <si>
    <t xml:space="preserve">LE MAILLOUX </t>
  </si>
  <si>
    <t xml:space="preserve">Tom </t>
  </si>
  <si>
    <t>564.00</t>
  </si>
  <si>
    <t xml:space="preserve">LE PICHON </t>
  </si>
  <si>
    <t xml:space="preserve">Nicolas </t>
  </si>
  <si>
    <t>656.00</t>
  </si>
  <si>
    <t xml:space="preserve">LECOSSIER </t>
  </si>
  <si>
    <t xml:space="preserve">Michel </t>
  </si>
  <si>
    <t>985.00</t>
  </si>
  <si>
    <t xml:space="preserve">LORHO </t>
  </si>
  <si>
    <t xml:space="preserve">Mathieu </t>
  </si>
  <si>
    <t>608.00</t>
  </si>
  <si>
    <t xml:space="preserve">MORIN </t>
  </si>
  <si>
    <t xml:space="preserve">Emmanuel </t>
  </si>
  <si>
    <t>764.00</t>
  </si>
  <si>
    <t xml:space="preserve">Quentin </t>
  </si>
  <si>
    <t>563.00</t>
  </si>
  <si>
    <t xml:space="preserve">RICHARD </t>
  </si>
  <si>
    <t xml:space="preserve">Patrice </t>
  </si>
  <si>
    <t>984.00</t>
  </si>
  <si>
    <t xml:space="preserve">ROSZAK </t>
  </si>
  <si>
    <t xml:space="preserve">Clément </t>
  </si>
  <si>
    <t>1337.00</t>
  </si>
  <si>
    <t xml:space="preserve">Martin </t>
  </si>
  <si>
    <t>803.00</t>
  </si>
  <si>
    <t>C1</t>
  </si>
  <si>
    <t xml:space="preserve">ROUSSEAU </t>
  </si>
  <si>
    <t xml:space="preserve">Bertrand </t>
  </si>
  <si>
    <t>A retenir</t>
  </si>
  <si>
    <t>Une année avec de très nombreux résultats au TOP autant en individuel (7 podiums au Morbihan !) que par équipes (MTT 2 avec 2 montées successives etc …)</t>
  </si>
  <si>
    <t xml:space="preserve">SAVARY </t>
  </si>
  <si>
    <t xml:space="preserve">Paulin </t>
  </si>
  <si>
    <t xml:space="preserve">THOMAZEAU </t>
  </si>
  <si>
    <t xml:space="preserve">Léo </t>
  </si>
  <si>
    <t>735.00</t>
  </si>
  <si>
    <t>J2</t>
  </si>
  <si>
    <t xml:space="preserve">TOUCHE </t>
  </si>
  <si>
    <t xml:space="preserve">Rémy </t>
  </si>
  <si>
    <t>1015.00</t>
  </si>
  <si>
    <t xml:space="preserve">TRIN </t>
  </si>
  <si>
    <t xml:space="preserve">Kilian </t>
  </si>
  <si>
    <t>1191.00</t>
  </si>
  <si>
    <t xml:space="preserve">VILAIN </t>
  </si>
  <si>
    <t xml:space="preserve">Benjamin </t>
  </si>
  <si>
    <t>913.00</t>
  </si>
  <si>
    <t xml:space="preserve">ZARAGOZA </t>
  </si>
  <si>
    <t xml:space="preserve">José </t>
  </si>
  <si>
    <t>1075.00</t>
  </si>
  <si>
    <t xml:space="preserve">GUILLOTIN </t>
  </si>
  <si>
    <t xml:space="preserve">Marie-paule </t>
  </si>
  <si>
    <t>652.00</t>
  </si>
  <si>
    <t xml:space="preserve">Léa </t>
  </si>
  <si>
    <t>523.00</t>
  </si>
  <si>
    <t xml:space="preserve">- de15 et 3 ans max d'ancienneté </t>
  </si>
  <si>
    <t>" espoir de l'année "</t>
  </si>
  <si>
    <t>Sept.</t>
  </si>
  <si>
    <t>clast:sept</t>
  </si>
  <si>
    <t>Top famille</t>
  </si>
  <si>
    <t>Couture</t>
  </si>
  <si>
    <t>t</t>
  </si>
  <si>
    <t>Zaragoza</t>
  </si>
  <si>
    <t>m</t>
  </si>
  <si>
    <t>Le cam</t>
  </si>
  <si>
    <t>Brossaud</t>
  </si>
  <si>
    <t>Morin</t>
  </si>
  <si>
    <t>Richard-Trin</t>
  </si>
  <si>
    <t>Le Gac</t>
  </si>
  <si>
    <t>l</t>
  </si>
  <si>
    <t>Craineguy</t>
  </si>
  <si>
    <t>Cojean</t>
  </si>
  <si>
    <t>Guehennec -Le Garnec</t>
  </si>
  <si>
    <t>Roszak</t>
  </si>
  <si>
    <t>Vilain</t>
  </si>
  <si>
    <t>Bousseau</t>
  </si>
  <si>
    <t>Unique-Colin</t>
  </si>
  <si>
    <t>Galand</t>
  </si>
  <si>
    <t>Bodennec</t>
  </si>
  <si>
    <t>Landru</t>
  </si>
  <si>
    <r>
      <t xml:space="preserve">places </t>
    </r>
    <r>
      <rPr>
        <sz val="8"/>
        <color indexed="12"/>
        <rFont val="Arial"/>
        <family val="2"/>
      </rPr>
      <t>gagnées</t>
    </r>
    <r>
      <rPr>
        <sz val="8"/>
        <rFont val="Arial"/>
        <family val="2"/>
      </rPr>
      <t xml:space="preserve">                      ou   </t>
    </r>
    <r>
      <rPr>
        <sz val="8"/>
        <color indexed="10"/>
        <rFont val="Arial"/>
        <family val="2"/>
      </rPr>
      <t>perdues</t>
    </r>
  </si>
  <si>
    <t xml:space="preserve">BILAN  ANNUEL   Saison </t>
  </si>
  <si>
    <t>Famille de l'année</t>
  </si>
  <si>
    <t>L'équipe jeune cadet a fini 4ème en phase 1 et 3ème en phase 2 (Simon,Thais,Quentin Z.,Gwendal et Rémy) pendant que  Mael, Clément et Guilhem disputaient le circuit jeune . Ils ont tous été exemplaires sous les couleurs de MTT !</t>
  </si>
  <si>
    <t>PROPOSITIONS ORIENTATIONS 2015-2016</t>
  </si>
  <si>
    <t>4. Organiser des entraînements structurés pour les licenciés en compétition</t>
  </si>
  <si>
    <t>10. Organiser un tournoi en Septembre pour les non licenciés et les licences loisirs</t>
  </si>
  <si>
    <t>BILAN FINANCIER  2014 -2015</t>
  </si>
  <si>
    <t>9ème</t>
  </si>
  <si>
    <t>4ème</t>
  </si>
  <si>
    <t>7ème</t>
  </si>
  <si>
    <t>Morin Léa</t>
  </si>
  <si>
    <t>Morin Quentin</t>
  </si>
  <si>
    <t>Morin Emmanuel</t>
  </si>
  <si>
    <t>Champt jeune</t>
  </si>
  <si>
    <t>Ph1</t>
  </si>
  <si>
    <t>Ph2</t>
  </si>
  <si>
    <t>1/8</t>
  </si>
  <si>
    <r>
      <t xml:space="preserve">MUZILLAC Tennis de Table                            </t>
    </r>
    <r>
      <rPr>
        <sz val="14"/>
        <rFont val="Arial Rounded MT Bold"/>
        <family val="2"/>
      </rPr>
      <t>COMPTE DE RESULTAT Saison 2014 / 2015</t>
    </r>
  </si>
  <si>
    <t>Réaffiliation et cotisation(+ abt)</t>
  </si>
  <si>
    <t>Licences + critérium</t>
  </si>
  <si>
    <t>SUBVENTIONS DE FONCTT</t>
  </si>
  <si>
    <t>Formations (juge arbitre)</t>
  </si>
  <si>
    <t>Région Bretagne</t>
  </si>
  <si>
    <t>Autres (mutations,caution à la Ligue…)</t>
  </si>
  <si>
    <t>CAF 56</t>
  </si>
  <si>
    <t>Amendes</t>
  </si>
  <si>
    <t>ENTRAINEMENT  (Julien)</t>
  </si>
  <si>
    <t>COMPETITIONS</t>
  </si>
  <si>
    <t>DEPLACEMENTS : dons déductibles</t>
  </si>
  <si>
    <t>Frais d'arbitrage</t>
  </si>
  <si>
    <t>Déplacements</t>
  </si>
  <si>
    <t>Tournoi de rentrée</t>
  </si>
  <si>
    <t>MISSIONS RECEPTIONS</t>
  </si>
  <si>
    <t>Non estimé</t>
  </si>
  <si>
    <t>Circuit Jeunes et Critérium (CTT56)</t>
  </si>
  <si>
    <t>Cadeaux Sponsors (Ping Show)</t>
  </si>
  <si>
    <t>Circuit Jeunes (Buvette)</t>
  </si>
  <si>
    <t>Comité Directeur et AG 20/09</t>
  </si>
  <si>
    <t>Criterium fédéral Tour 4</t>
  </si>
  <si>
    <t>Equipes visiteuses, Championnat</t>
  </si>
  <si>
    <t>Criterium fédéral Tour 4 LBTT</t>
  </si>
  <si>
    <t>Tournoi de rentrée et Galette</t>
  </si>
  <si>
    <t>AG du CTT 56 (Buvette)</t>
  </si>
  <si>
    <t>Critérium Fédéral T4</t>
  </si>
  <si>
    <t>AG du CTT 56 (Organisation)</t>
  </si>
  <si>
    <t>Circuit Jeunes J5</t>
  </si>
  <si>
    <t>Plaques</t>
  </si>
  <si>
    <t>Table</t>
  </si>
  <si>
    <t>Prêt de matériel</t>
  </si>
  <si>
    <t>Séparations</t>
  </si>
  <si>
    <t>Vente de SURVETEMENTS</t>
  </si>
  <si>
    <t>Rembourst Engagement Ménimur</t>
  </si>
  <si>
    <t xml:space="preserve">Formations </t>
  </si>
  <si>
    <t>Opération survêtements flocage</t>
  </si>
  <si>
    <t>Forfait Frais Secrétariat</t>
  </si>
  <si>
    <t>Entreprise Morin</t>
  </si>
  <si>
    <t>DECIWAY Consulting</t>
  </si>
  <si>
    <t>Super U</t>
  </si>
  <si>
    <r>
      <t xml:space="preserve">AUTRES CHARGES </t>
    </r>
    <r>
      <rPr>
        <sz val="8"/>
        <rFont val="Arial Rounded MT Bold"/>
        <family val="2"/>
      </rPr>
      <t>(Assurances…)</t>
    </r>
  </si>
  <si>
    <t>TOTAL CHARGES</t>
  </si>
  <si>
    <t>TOTAL PRODUITS</t>
  </si>
  <si>
    <r>
      <t xml:space="preserve">                    DISPONIBILITES FINANCIERES DE L'ASSOCIATION AU 14/06/2015                                      </t>
    </r>
    <r>
      <rPr>
        <b/>
        <i/>
        <u/>
        <sz val="10"/>
        <color rgb="FF339966"/>
        <rFont val="Arial"/>
        <family val="2"/>
      </rPr>
      <t>Report du 18/05/2014</t>
    </r>
  </si>
  <si>
    <t>COMPTE CHEQUE: ……….……….…………………………………………………………………………………</t>
  </si>
  <si>
    <t>CAISSE</t>
  </si>
  <si>
    <r>
      <t>TOTAL au 14/06/2015</t>
    </r>
    <r>
      <rPr>
        <sz val="10"/>
        <rFont val="Arial"/>
        <family val="2"/>
      </rPr>
      <t>………………………………………………………………………………………………………………….</t>
    </r>
  </si>
  <si>
    <t>La subvention de fonctionnement de l'OMS pour l'exercice 2015 - 2016 d'un montant de 1460 € a été versée sur le compte.</t>
  </si>
  <si>
    <t>Luc Baudais</t>
  </si>
  <si>
    <t>11.Organiser des compétitions départementales et régionales (2 ou 3)</t>
  </si>
  <si>
    <t>Muzillac TT 7</t>
  </si>
  <si>
    <t>Muzillac TT 6</t>
  </si>
  <si>
    <t>Muzillac TT 5</t>
  </si>
  <si>
    <t>Muzillac TT 4</t>
  </si>
  <si>
    <t>Muzillac TT 3</t>
  </si>
  <si>
    <t>Muzillac TT 2</t>
  </si>
  <si>
    <t>Muzillac TT 1</t>
  </si>
  <si>
    <t>j8</t>
  </si>
  <si>
    <t>j7</t>
  </si>
  <si>
    <t>j6</t>
  </si>
  <si>
    <t>j5</t>
  </si>
  <si>
    <t>j4</t>
  </si>
  <si>
    <t>j3</t>
  </si>
  <si>
    <t>j2</t>
  </si>
  <si>
    <t>j1</t>
  </si>
  <si>
    <t>             Je gagne donc 10 points</t>
  </si>
  <si>
    <t xml:space="preserve">500+ </t>
  </si>
  <si>
    <r>
      <t xml:space="preserve">L'écart est de 1226 -1125 = </t>
    </r>
    <r>
      <rPr>
        <b/>
        <sz val="12"/>
        <color rgb="FF0000FF"/>
        <rFont val="Arial"/>
        <family val="2"/>
      </rPr>
      <t>101</t>
    </r>
  </si>
  <si>
    <t xml:space="preserve">400-499 </t>
  </si>
  <si>
    <t>C'est une victoire "anormale" (une performance).</t>
  </si>
  <si>
    <t xml:space="preserve">300-399 </t>
  </si>
  <si>
    <r>
      <t xml:space="preserve">J'ai battu ensuite un joueur qui avait </t>
    </r>
    <r>
      <rPr>
        <b/>
        <sz val="12"/>
        <color rgb="FF0000FF"/>
        <rFont val="Arial"/>
        <family val="2"/>
      </rPr>
      <t xml:space="preserve">1226 </t>
    </r>
    <r>
      <rPr>
        <sz val="12"/>
        <color rgb="FF0000FF"/>
        <rFont val="Arial"/>
        <family val="2"/>
      </rPr>
      <t>points.</t>
    </r>
  </si>
  <si>
    <t xml:space="preserve">200-299 </t>
  </si>
  <si>
    <t>             Je perds donc 4 points</t>
  </si>
  <si>
    <t xml:space="preserve">150-199 </t>
  </si>
  <si>
    <r>
      <t xml:space="preserve">L'écart est de </t>
    </r>
    <r>
      <rPr>
        <sz val="12"/>
        <color rgb="FFFF0000"/>
        <rFont val="Arial"/>
        <family val="2"/>
      </rPr>
      <t>1183 - 1125</t>
    </r>
    <r>
      <rPr>
        <sz val="12"/>
        <color rgb="FF0000FF"/>
        <rFont val="Arial"/>
        <family val="2"/>
      </rPr>
      <t xml:space="preserve"> = </t>
    </r>
    <r>
      <rPr>
        <b/>
        <sz val="12"/>
        <color rgb="FF00B050"/>
        <rFont val="Arial"/>
        <family val="2"/>
      </rPr>
      <t>58</t>
    </r>
  </si>
  <si>
    <t xml:space="preserve">100-149 </t>
  </si>
  <si>
    <t>Il est mieux classé, c'est donc une défaite "normale"</t>
  </si>
  <si>
    <t xml:space="preserve">50-99 </t>
  </si>
  <si>
    <t>je viens de perdre un joueur qui a 1183 points</t>
  </si>
  <si>
    <t xml:space="preserve">25-49 </t>
  </si>
  <si>
    <r>
      <t xml:space="preserve">J'ai actuellement </t>
    </r>
    <r>
      <rPr>
        <b/>
        <sz val="12"/>
        <color rgb="FF0000FF"/>
        <rFont val="Arial"/>
        <family val="2"/>
      </rPr>
      <t>1125</t>
    </r>
    <r>
      <rPr>
        <sz val="12"/>
        <color rgb="FF0000FF"/>
        <rFont val="Arial"/>
        <family val="2"/>
      </rPr>
      <t xml:space="preserve"> points et ,</t>
    </r>
  </si>
  <si>
    <r>
      <t>0-</t>
    </r>
    <r>
      <rPr>
        <sz val="12"/>
        <rFont val="Verdana"/>
        <family val="2"/>
      </rPr>
      <t>24</t>
    </r>
    <r>
      <rPr>
        <sz val="12"/>
        <rFont val="Comic Sans MS"/>
        <family val="4"/>
      </rPr>
      <t xml:space="preserve"> </t>
    </r>
  </si>
  <si>
    <t>D .Anorm</t>
  </si>
  <si>
    <t>V .Anorm</t>
  </si>
  <si>
    <t>D .Norm</t>
  </si>
  <si>
    <t>V .Norm</t>
  </si>
  <si>
    <t>Écart</t>
  </si>
  <si>
    <t>&lt; 310</t>
  </si>
  <si>
    <t xml:space="preserve">&lt; 660 </t>
  </si>
  <si>
    <t>NC</t>
  </si>
  <si>
    <t>*</t>
  </si>
  <si>
    <t>310 - 329</t>
  </si>
  <si>
    <t>660 - 679</t>
  </si>
  <si>
    <t>330 - 349</t>
  </si>
  <si>
    <t>680 - 699</t>
  </si>
  <si>
    <t>350 - 449</t>
  </si>
  <si>
    <t>700 - 799</t>
  </si>
  <si>
    <t>450-549</t>
  </si>
  <si>
    <t xml:space="preserve">800-899 </t>
  </si>
  <si>
    <t>550-649</t>
  </si>
  <si>
    <t xml:space="preserve">900-999 </t>
  </si>
  <si>
    <t>650-749</t>
  </si>
  <si>
    <t xml:space="preserve">1000-1099 </t>
  </si>
  <si>
    <t>750-849</t>
  </si>
  <si>
    <t xml:space="preserve">1100-1199 </t>
  </si>
  <si>
    <t>850-949</t>
  </si>
  <si>
    <t xml:space="preserve">1200-1299 </t>
  </si>
  <si>
    <t>950-1049</t>
  </si>
  <si>
    <t xml:space="preserve">1300-1399 </t>
  </si>
  <si>
    <t>1050-1149</t>
  </si>
  <si>
    <t xml:space="preserve">1400-1499 </t>
  </si>
  <si>
    <t>1150-1249</t>
  </si>
  <si>
    <t xml:space="preserve">1500-1599 </t>
  </si>
  <si>
    <t>1250-1349</t>
  </si>
  <si>
    <t xml:space="preserve">1600-1699 </t>
  </si>
  <si>
    <t>1350-1449</t>
  </si>
  <si>
    <t xml:space="preserve">1700-1799 </t>
  </si>
  <si>
    <t>1450 +</t>
  </si>
  <si>
    <t>1800+</t>
  </si>
  <si>
    <t>Femme</t>
  </si>
  <si>
    <t>Homme</t>
  </si>
  <si>
    <t>Clast</t>
  </si>
  <si>
    <t>* devant en bas à gauche fait apparaitre le résultat</t>
  </si>
  <si>
    <t>Prochaine journée</t>
  </si>
  <si>
    <t>compositions d'équipe</t>
  </si>
  <si>
    <t>coeff pondération</t>
  </si>
  <si>
    <t>% général</t>
  </si>
  <si>
    <t>nbre total de matchs</t>
  </si>
  <si>
    <t>nbre de match/joueur/journée</t>
  </si>
  <si>
    <t>nbre total de victoires</t>
  </si>
  <si>
    <t>Nombre de matchs disputés par journée</t>
  </si>
  <si>
    <t>n° d'équipe</t>
  </si>
  <si>
    <t>éq8</t>
  </si>
  <si>
    <t>éq7</t>
  </si>
  <si>
    <t>éq6</t>
  </si>
  <si>
    <t>éq5</t>
  </si>
  <si>
    <t>éq4</t>
  </si>
  <si>
    <t>éq3</t>
  </si>
  <si>
    <t>éq2</t>
  </si>
  <si>
    <t>éq1</t>
  </si>
  <si>
    <t>CHAMPIONNAT SAISON :</t>
  </si>
  <si>
    <t>Journée</t>
  </si>
  <si>
    <t>Brulé en :</t>
  </si>
  <si>
    <t>équipe1</t>
  </si>
  <si>
    <t>pourcentages championnat</t>
  </si>
  <si>
    <t>matchs joués</t>
  </si>
  <si>
    <t>matchs gagnés</t>
  </si>
  <si>
    <t>pourcentages phase2</t>
  </si>
  <si>
    <t>phase2 joués</t>
  </si>
  <si>
    <t>phase2 gagnés</t>
  </si>
  <si>
    <t>pourcentages phase1</t>
  </si>
  <si>
    <t>phase1 joués</t>
  </si>
  <si>
    <t>phase1 gagnés</t>
  </si>
  <si>
    <t>nbre de journées</t>
  </si>
  <si>
    <t>Equipe principale</t>
  </si>
  <si>
    <t xml:space="preserve">Une équipe féminine a été engagée dans le championnat en Pré Nationale en phase 1 mais n'a pas été reconduite en phase 2 suite à la descente en Régionale.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</si>
</sst>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0\ &quot;€&quot;;[Red]\-#,##0\ &quot;€&quot;"/>
    <numFmt numFmtId="164" formatCode="_-* #,##0\ _F_-;\-* #,##0\ _F_-;_-* &quot;- &quot;_F_-;_-@_-"/>
    <numFmt numFmtId="165" formatCode="_(\$* #,##0_);_(\$* \(#,##0\);_(\$* \-_);_(@_)"/>
    <numFmt numFmtId="166" formatCode="_-* #,##0.00\ [$€-1]_-;\-* #,##0.00\ [$€-1]_-;_-* \-??\ [$€-1]_-"/>
    <numFmt numFmtId="167" formatCode="_-* #,##0&quot; F&quot;_-;\-* #,##0&quot; F&quot;_-;_-* &quot;- F&quot;_-;_-@_-"/>
    <numFmt numFmtId="168" formatCode="_-* #,##0.00&quot; F&quot;_-;\-* #,##0.00&quot; F&quot;_-;_-* \-??&quot; F&quot;_-;_-@_-"/>
    <numFmt numFmtId="169" formatCode="dddd&quot;, &quot;mmmm\ dd&quot;, &quot;yyyy"/>
    <numFmt numFmtId="170" formatCode="dd/mm/yy;@"/>
    <numFmt numFmtId="171" formatCode="0.0"/>
    <numFmt numFmtId="172" formatCode="d\-mmm;@"/>
    <numFmt numFmtId="173" formatCode="0_ ;[Red]\-0\ "/>
    <numFmt numFmtId="174" formatCode="#,##0.00&quot; €&quot;"/>
    <numFmt numFmtId="175" formatCode="d/m;@"/>
    <numFmt numFmtId="176" formatCode="[$-F800]dddd\,\ mmmm\ dd\,\ yyyy"/>
    <numFmt numFmtId="177" formatCode="[$-40C]d\-mmm;@"/>
    <numFmt numFmtId="178" formatCode="[$-40C]mmm\-yy;@"/>
    <numFmt numFmtId="179" formatCode="[$-40C]d\ mmmm\ yyyy;@"/>
    <numFmt numFmtId="180" formatCode="0_ ;\-0\ "/>
    <numFmt numFmtId="181" formatCode="#,##0.00\ &quot;€&quot;"/>
    <numFmt numFmtId="182" formatCode="_-* #,##0.00&quot; €&quot;_-;\-* #,##0.00&quot; €&quot;_-;_-* \-??&quot; €&quot;_-;_-@_-"/>
  </numFmts>
  <fonts count="269">
    <font>
      <sz val="10"/>
      <name val="Arial"/>
      <family val="2"/>
    </font>
    <font>
      <sz val="11"/>
      <color theme="1"/>
      <name val="Calibri"/>
      <family val="2"/>
      <scheme val="minor"/>
    </font>
    <font>
      <sz val="11"/>
      <color theme="1"/>
      <name val="Calibri"/>
      <family val="2"/>
      <scheme val="minor"/>
    </font>
    <font>
      <sz val="10"/>
      <name val="Arial"/>
      <family val="2"/>
    </font>
    <font>
      <sz val="12"/>
      <name val="Arial"/>
      <family val="2"/>
    </font>
    <font>
      <sz val="18"/>
      <name val="Arial"/>
      <family val="2"/>
    </font>
    <font>
      <sz val="22"/>
      <name val="Arial"/>
      <family val="2"/>
    </font>
    <font>
      <b/>
      <sz val="14"/>
      <name val="Arial"/>
      <family val="2"/>
    </font>
    <font>
      <sz val="8"/>
      <name val="Arial"/>
      <family val="2"/>
    </font>
    <font>
      <sz val="10"/>
      <color indexed="12"/>
      <name val="Arial"/>
      <family val="2"/>
    </font>
    <font>
      <b/>
      <u/>
      <sz val="10"/>
      <name val="Arial"/>
      <family val="2"/>
    </font>
    <font>
      <b/>
      <sz val="10"/>
      <name val="Arial"/>
      <family val="2"/>
    </font>
    <font>
      <u/>
      <sz val="10"/>
      <name val="Arial"/>
      <family val="2"/>
    </font>
    <font>
      <b/>
      <i/>
      <sz val="9"/>
      <name val="Arial"/>
      <family val="2"/>
    </font>
    <font>
      <i/>
      <sz val="10"/>
      <name val="Arial"/>
      <family val="2"/>
    </font>
    <font>
      <b/>
      <sz val="8"/>
      <name val="Arial"/>
      <family val="2"/>
    </font>
    <font>
      <b/>
      <sz val="10"/>
      <name val="Comic Sans MS"/>
      <family val="4"/>
    </font>
    <font>
      <sz val="10"/>
      <color indexed="23"/>
      <name val="Arial"/>
      <family val="2"/>
    </font>
    <font>
      <b/>
      <i/>
      <sz val="11"/>
      <name val="Arial"/>
      <family val="2"/>
    </font>
    <font>
      <u/>
      <sz val="12"/>
      <name val="Arial"/>
      <family val="2"/>
    </font>
    <font>
      <b/>
      <sz val="16"/>
      <name val="Arial"/>
      <family val="2"/>
    </font>
    <font>
      <u/>
      <sz val="8.5"/>
      <color indexed="12"/>
      <name val="Arial"/>
      <family val="2"/>
    </font>
    <font>
      <sz val="11"/>
      <name val="Arial"/>
      <family val="2"/>
    </font>
    <font>
      <b/>
      <sz val="12"/>
      <color indexed="12"/>
      <name val="Arial"/>
      <family val="2"/>
    </font>
    <font>
      <b/>
      <sz val="18"/>
      <name val="Arial"/>
      <family val="2"/>
    </font>
    <font>
      <b/>
      <sz val="12"/>
      <name val="Arial"/>
      <family val="2"/>
    </font>
    <font>
      <sz val="12"/>
      <color indexed="12"/>
      <name val="Arial"/>
      <family val="2"/>
    </font>
    <font>
      <sz val="10"/>
      <color indexed="9"/>
      <name val="Arial"/>
      <family val="2"/>
    </font>
    <font>
      <i/>
      <sz val="11"/>
      <name val="Arial"/>
      <family val="2"/>
    </font>
    <font>
      <sz val="16"/>
      <color indexed="12"/>
      <name val="Arial"/>
      <family val="2"/>
    </font>
    <font>
      <sz val="8"/>
      <color indexed="12"/>
      <name val="Arial"/>
      <family val="2"/>
    </font>
    <font>
      <sz val="12"/>
      <color indexed="17"/>
      <name val="Arial"/>
      <family val="2"/>
    </font>
    <font>
      <sz val="10"/>
      <color indexed="17"/>
      <name val="Arial"/>
      <family val="2"/>
    </font>
    <font>
      <sz val="10"/>
      <color indexed="10"/>
      <name val="Arial"/>
      <family val="2"/>
    </font>
    <font>
      <sz val="12"/>
      <color indexed="10"/>
      <name val="Arial"/>
      <family val="2"/>
    </font>
    <font>
      <i/>
      <sz val="9"/>
      <name val="Arial"/>
      <family val="2"/>
    </font>
    <font>
      <i/>
      <sz val="9"/>
      <color indexed="12"/>
      <name val="Arial"/>
      <family val="2"/>
    </font>
    <font>
      <i/>
      <sz val="10"/>
      <color indexed="12"/>
      <name val="Arial"/>
      <family val="2"/>
    </font>
    <font>
      <sz val="14"/>
      <name val="Arial"/>
      <family val="2"/>
    </font>
    <font>
      <i/>
      <u/>
      <sz val="10"/>
      <name val="Arial"/>
      <family val="2"/>
    </font>
    <font>
      <sz val="10"/>
      <name val="Comic Sans MS"/>
      <family val="4"/>
    </font>
    <font>
      <b/>
      <u/>
      <sz val="14"/>
      <color indexed="12"/>
      <name val="Arial"/>
      <family val="2"/>
    </font>
    <font>
      <sz val="13"/>
      <name val="Comic Sans MS"/>
      <family val="4"/>
    </font>
    <font>
      <sz val="14"/>
      <color indexed="12"/>
      <name val="Arial"/>
      <family val="2"/>
    </font>
    <font>
      <sz val="12"/>
      <color indexed="55"/>
      <name val="Arial"/>
      <family val="2"/>
    </font>
    <font>
      <i/>
      <sz val="13"/>
      <name val="Comic Sans MS"/>
      <family val="4"/>
    </font>
    <font>
      <i/>
      <sz val="12"/>
      <color indexed="12"/>
      <name val="Arial"/>
      <family val="2"/>
    </font>
    <font>
      <i/>
      <u/>
      <sz val="18"/>
      <name val="Arial"/>
      <family val="2"/>
    </font>
    <font>
      <b/>
      <i/>
      <sz val="10"/>
      <name val="Comic Sans MS"/>
      <family val="4"/>
    </font>
    <font>
      <i/>
      <sz val="8"/>
      <name val="Arial"/>
      <family val="2"/>
    </font>
    <font>
      <sz val="10"/>
      <color indexed="8"/>
      <name val="Arial"/>
      <family val="2"/>
    </font>
    <font>
      <b/>
      <sz val="10"/>
      <color indexed="10"/>
      <name val="Arial"/>
      <family val="2"/>
    </font>
    <font>
      <sz val="8"/>
      <color indexed="10"/>
      <name val="Arial"/>
      <family val="2"/>
    </font>
    <font>
      <sz val="9"/>
      <name val="Arial"/>
      <family val="2"/>
    </font>
    <font>
      <i/>
      <sz val="8"/>
      <color indexed="57"/>
      <name val="Arial"/>
      <family val="2"/>
    </font>
    <font>
      <i/>
      <sz val="10"/>
      <color indexed="57"/>
      <name val="Arial"/>
      <family val="2"/>
    </font>
    <font>
      <b/>
      <i/>
      <sz val="12"/>
      <name val="Arial"/>
      <family val="2"/>
    </font>
    <font>
      <b/>
      <sz val="10"/>
      <color indexed="12"/>
      <name val="Arial"/>
      <family val="2"/>
    </font>
    <font>
      <sz val="14"/>
      <color indexed="17"/>
      <name val="Arial"/>
      <family val="2"/>
    </font>
    <font>
      <sz val="16"/>
      <name val="Times New Roman"/>
      <family val="1"/>
    </font>
    <font>
      <sz val="12"/>
      <name val="Times New Roman"/>
      <family val="1"/>
    </font>
    <font>
      <u/>
      <sz val="11"/>
      <name val="Times New Roman"/>
      <family val="1"/>
    </font>
    <font>
      <sz val="11"/>
      <name val="Times New Roman"/>
      <family val="1"/>
    </font>
    <font>
      <b/>
      <u/>
      <sz val="14"/>
      <name val="Times New Roman"/>
      <family val="1"/>
    </font>
    <font>
      <sz val="12"/>
      <color indexed="8"/>
      <name val="Times New Roman"/>
      <family val="1"/>
    </font>
    <font>
      <b/>
      <sz val="12"/>
      <name val="Times New Roman"/>
      <family val="1"/>
    </font>
    <font>
      <b/>
      <sz val="14"/>
      <name val="Times New Roman"/>
      <family val="1"/>
    </font>
    <font>
      <b/>
      <u/>
      <sz val="12"/>
      <name val="Times New Roman"/>
      <family val="1"/>
    </font>
    <font>
      <i/>
      <u/>
      <sz val="12"/>
      <name val="Arial"/>
      <family val="2"/>
    </font>
    <font>
      <i/>
      <sz val="10"/>
      <color indexed="8"/>
      <name val="Arial"/>
      <family val="2"/>
    </font>
    <font>
      <b/>
      <i/>
      <sz val="10"/>
      <name val="Arial"/>
      <family val="2"/>
    </font>
    <font>
      <sz val="12"/>
      <color indexed="9"/>
      <name val="Arial"/>
      <family val="2"/>
    </font>
    <font>
      <sz val="8"/>
      <color indexed="9"/>
      <name val="Arial"/>
      <family val="2"/>
    </font>
    <font>
      <sz val="13"/>
      <name val="Arial"/>
      <family val="2"/>
    </font>
    <font>
      <b/>
      <sz val="11"/>
      <name val="Arial"/>
      <family val="2"/>
    </font>
    <font>
      <i/>
      <sz val="14"/>
      <name val="Arial"/>
      <family val="2"/>
    </font>
    <font>
      <sz val="10"/>
      <name val="Arial"/>
      <family val="2"/>
    </font>
    <font>
      <i/>
      <sz val="10"/>
      <color indexed="9"/>
      <name val="Arial"/>
      <family val="2"/>
    </font>
    <font>
      <b/>
      <sz val="12"/>
      <color indexed="9"/>
      <name val="Arial"/>
      <family val="2"/>
    </font>
    <font>
      <i/>
      <sz val="8"/>
      <color indexed="9"/>
      <name val="Arial"/>
      <family val="2"/>
    </font>
    <font>
      <b/>
      <sz val="18"/>
      <name val="Bitstream Vera Serif"/>
      <family val="1"/>
    </font>
    <font>
      <sz val="18"/>
      <name val="Bitstream Vera Serif"/>
      <family val="1"/>
    </font>
    <font>
      <b/>
      <u/>
      <sz val="18"/>
      <name val="Bitstream Vera Serif"/>
      <family val="1"/>
    </font>
    <font>
      <b/>
      <sz val="48"/>
      <name val="Arial"/>
      <family val="2"/>
    </font>
    <font>
      <sz val="54"/>
      <name val="Comic Sans MS"/>
      <family val="4"/>
    </font>
    <font>
      <sz val="26"/>
      <name val="Arial"/>
      <family val="2"/>
    </font>
    <font>
      <b/>
      <u/>
      <sz val="22"/>
      <name val="Bitstream Vera Serif"/>
      <family val="1"/>
    </font>
    <font>
      <b/>
      <u/>
      <sz val="24"/>
      <name val="Arial"/>
      <family val="2"/>
    </font>
    <font>
      <sz val="8"/>
      <name val="Arial"/>
      <family val="2"/>
    </font>
    <font>
      <sz val="16"/>
      <name val="Arial"/>
      <family val="2"/>
    </font>
    <font>
      <sz val="12"/>
      <name val="Comic Sans MS"/>
      <family val="4"/>
    </font>
    <font>
      <sz val="10"/>
      <color indexed="12"/>
      <name val="Arial"/>
      <family val="2"/>
    </font>
    <font>
      <i/>
      <sz val="14"/>
      <name val="Comic Sans MS"/>
      <family val="4"/>
    </font>
    <font>
      <sz val="12"/>
      <color indexed="12"/>
      <name val="Arial"/>
      <family val="2"/>
    </font>
    <font>
      <b/>
      <sz val="13"/>
      <name val="Comic Sans MS"/>
      <family val="4"/>
    </font>
    <font>
      <sz val="14"/>
      <name val="Arial"/>
      <family val="2"/>
    </font>
    <font>
      <sz val="11"/>
      <name val="Arial"/>
      <family val="2"/>
    </font>
    <font>
      <b/>
      <sz val="12"/>
      <name val="Biondi"/>
    </font>
    <font>
      <sz val="16"/>
      <name val="Arial"/>
      <family val="2"/>
    </font>
    <font>
      <sz val="10"/>
      <color indexed="17"/>
      <name val="Arial"/>
      <family val="2"/>
    </font>
    <font>
      <b/>
      <sz val="14"/>
      <color indexed="12"/>
      <name val="Arial"/>
      <family val="2"/>
    </font>
    <font>
      <sz val="14"/>
      <color indexed="17"/>
      <name val="Arial"/>
      <family val="2"/>
    </font>
    <font>
      <sz val="14"/>
      <color indexed="10"/>
      <name val="Arial"/>
      <family val="2"/>
    </font>
    <font>
      <sz val="14"/>
      <color indexed="23"/>
      <name val="Arial"/>
      <family val="2"/>
    </font>
    <font>
      <i/>
      <sz val="13.5"/>
      <name val="Arial"/>
      <family val="2"/>
    </font>
    <font>
      <sz val="13.5"/>
      <name val="Arial"/>
      <family val="2"/>
    </font>
    <font>
      <b/>
      <sz val="13.5"/>
      <name val="Arial"/>
      <family val="2"/>
    </font>
    <font>
      <sz val="16"/>
      <color indexed="55"/>
      <name val="Arial"/>
      <family val="2"/>
    </font>
    <font>
      <b/>
      <sz val="14"/>
      <color indexed="55"/>
      <name val="Arial"/>
      <family val="2"/>
    </font>
    <font>
      <sz val="16"/>
      <color indexed="12"/>
      <name val="Arial"/>
      <family val="2"/>
    </font>
    <font>
      <i/>
      <sz val="16"/>
      <name val="Arial"/>
      <family val="2"/>
    </font>
    <font>
      <sz val="10"/>
      <color rgb="FFFF0000"/>
      <name val="Arial"/>
      <family val="2"/>
    </font>
    <font>
      <sz val="11"/>
      <color rgb="FFFF0000"/>
      <name val="Calibri"/>
      <family val="2"/>
      <scheme val="minor"/>
    </font>
    <font>
      <sz val="11"/>
      <color theme="0"/>
      <name val="Calibri"/>
      <family val="2"/>
      <scheme val="minor"/>
    </font>
    <font>
      <b/>
      <u/>
      <sz val="26"/>
      <name val="Bitstream Vera Serif"/>
      <family val="1"/>
    </font>
    <font>
      <sz val="26"/>
      <name val="Bitstream Vera Serif"/>
      <family val="1"/>
    </font>
    <font>
      <i/>
      <sz val="10"/>
      <color indexed="10"/>
      <name val="Arial"/>
      <family val="2"/>
    </font>
    <font>
      <b/>
      <sz val="14"/>
      <color rgb="FF0000FF"/>
      <name val="Calibri"/>
      <family val="2"/>
      <scheme val="minor"/>
    </font>
    <font>
      <b/>
      <sz val="14"/>
      <name val="Calibri"/>
      <family val="2"/>
      <scheme val="minor"/>
    </font>
    <font>
      <sz val="11"/>
      <color rgb="FF0000FF"/>
      <name val="Calibri"/>
      <family val="2"/>
      <scheme val="minor"/>
    </font>
    <font>
      <sz val="14"/>
      <color rgb="FF0000FF"/>
      <name val="Calibri"/>
      <family val="2"/>
      <scheme val="minor"/>
    </font>
    <font>
      <b/>
      <sz val="14"/>
      <color theme="1"/>
      <name val="Calibri"/>
      <family val="2"/>
      <scheme val="minor"/>
    </font>
    <font>
      <sz val="14"/>
      <name val="Calibri"/>
      <family val="2"/>
    </font>
    <font>
      <b/>
      <sz val="14"/>
      <color rgb="FFFF0000"/>
      <name val="Calibri"/>
      <family val="2"/>
      <scheme val="minor"/>
    </font>
    <font>
      <sz val="14"/>
      <name val="Calibri"/>
      <family val="2"/>
      <scheme val="minor"/>
    </font>
    <font>
      <i/>
      <sz val="11"/>
      <color theme="1"/>
      <name val="Calibri"/>
      <family val="2"/>
      <scheme val="minor"/>
    </font>
    <font>
      <b/>
      <i/>
      <sz val="14"/>
      <color theme="1"/>
      <name val="Calibri"/>
      <family val="2"/>
      <scheme val="minor"/>
    </font>
    <font>
      <i/>
      <sz val="14"/>
      <name val="Calibri"/>
      <family val="2"/>
      <scheme val="minor"/>
    </font>
    <font>
      <i/>
      <sz val="14"/>
      <color rgb="FF0000FF"/>
      <name val="Calibri"/>
      <family val="2"/>
      <scheme val="minor"/>
    </font>
    <font>
      <b/>
      <i/>
      <sz val="14"/>
      <color rgb="FF0000FF"/>
      <name val="Calibri"/>
      <family val="2"/>
      <scheme val="minor"/>
    </font>
    <font>
      <i/>
      <sz val="9"/>
      <color rgb="FFFF0000"/>
      <name val="Calibri"/>
      <family val="2"/>
      <scheme val="minor"/>
    </font>
    <font>
      <i/>
      <sz val="9"/>
      <color rgb="FFFF0000"/>
      <name val="Arial"/>
      <family val="2"/>
    </font>
    <font>
      <b/>
      <i/>
      <sz val="12"/>
      <color theme="1"/>
      <name val="Calibri"/>
      <family val="2"/>
      <scheme val="minor"/>
    </font>
    <font>
      <b/>
      <i/>
      <sz val="12"/>
      <color rgb="FF0000FF"/>
      <name val="Calibri"/>
      <family val="2"/>
      <scheme val="minor"/>
    </font>
    <font>
      <b/>
      <sz val="12"/>
      <color theme="1"/>
      <name val="Calibri"/>
      <family val="2"/>
      <scheme val="minor"/>
    </font>
    <font>
      <sz val="12"/>
      <color rgb="FFFF0000"/>
      <name val="Arial"/>
      <family val="2"/>
    </font>
    <font>
      <i/>
      <sz val="11"/>
      <color theme="0" tint="-0.499984740745262"/>
      <name val="Calibri"/>
      <family val="2"/>
      <scheme val="minor"/>
    </font>
    <font>
      <i/>
      <sz val="14"/>
      <color theme="0" tint="-0.499984740745262"/>
      <name val="Calibri"/>
      <family val="2"/>
      <scheme val="minor"/>
    </font>
    <font>
      <i/>
      <sz val="14"/>
      <color theme="1"/>
      <name val="Calibri"/>
      <family val="2"/>
      <scheme val="minor"/>
    </font>
    <font>
      <i/>
      <sz val="11"/>
      <color rgb="FF0000FF"/>
      <name val="Calibri"/>
      <family val="2"/>
      <scheme val="minor"/>
    </font>
    <font>
      <sz val="14"/>
      <color theme="1"/>
      <name val="Calibri"/>
      <family val="2"/>
      <scheme val="minor"/>
    </font>
    <font>
      <sz val="11"/>
      <color rgb="FFFF0000"/>
      <name val="Arial"/>
      <family val="2"/>
    </font>
    <font>
      <b/>
      <sz val="12"/>
      <color rgb="FFFF0000"/>
      <name val="Calibri"/>
      <family val="2"/>
      <scheme val="minor"/>
    </font>
    <font>
      <b/>
      <sz val="11"/>
      <name val="Calibri"/>
      <family val="2"/>
      <scheme val="minor"/>
    </font>
    <font>
      <b/>
      <sz val="9"/>
      <name val="Calibri"/>
      <family val="2"/>
      <scheme val="minor"/>
    </font>
    <font>
      <sz val="11"/>
      <name val="Calibri"/>
      <family val="2"/>
      <scheme val="minor"/>
    </font>
    <font>
      <sz val="10"/>
      <color rgb="FF0070C0"/>
      <name val="Arial"/>
      <family val="2"/>
    </font>
    <font>
      <b/>
      <sz val="13"/>
      <color rgb="FFFF0000"/>
      <name val="Calibri"/>
      <family val="2"/>
      <scheme val="minor"/>
    </font>
    <font>
      <sz val="10"/>
      <color rgb="FF0000FF"/>
      <name val="Arial"/>
      <family val="2"/>
    </font>
    <font>
      <sz val="10"/>
      <color rgb="FF0070C0"/>
      <name val="Calibri"/>
      <family val="2"/>
      <scheme val="minor"/>
    </font>
    <font>
      <sz val="9"/>
      <color rgb="FF0070C0"/>
      <name val="Calibri"/>
      <family val="2"/>
      <scheme val="minor"/>
    </font>
    <font>
      <sz val="9"/>
      <color rgb="FF0070C0"/>
      <name val="Arial"/>
      <family val="2"/>
    </font>
    <font>
      <sz val="11"/>
      <color rgb="FF0070C0"/>
      <name val="Arial"/>
      <family val="2"/>
    </font>
    <font>
      <i/>
      <sz val="8"/>
      <color theme="1"/>
      <name val="Calibri"/>
      <family val="2"/>
      <scheme val="minor"/>
    </font>
    <font>
      <i/>
      <sz val="8"/>
      <name val="Calibri"/>
      <family val="2"/>
      <scheme val="minor"/>
    </font>
    <font>
      <b/>
      <sz val="10"/>
      <color rgb="FF0070C0"/>
      <name val="Arial"/>
      <family val="2"/>
    </font>
    <font>
      <b/>
      <sz val="9"/>
      <color rgb="FF0070C0"/>
      <name val="Arial"/>
      <family val="2"/>
    </font>
    <font>
      <b/>
      <sz val="11"/>
      <color rgb="FF0070C0"/>
      <name val="Arial"/>
      <family val="2"/>
    </font>
    <font>
      <sz val="11"/>
      <color rgb="FF0070C0"/>
      <name val="Calibri"/>
      <family val="2"/>
      <scheme val="minor"/>
    </font>
    <font>
      <sz val="7"/>
      <color rgb="FFFF0000"/>
      <name val="Arial"/>
      <family val="2"/>
    </font>
    <font>
      <sz val="8"/>
      <color rgb="FFFF0000"/>
      <name val="Arial"/>
      <family val="2"/>
    </font>
    <font>
      <sz val="10"/>
      <color rgb="FF00B050"/>
      <name val="Calibri"/>
      <family val="2"/>
      <scheme val="minor"/>
    </font>
    <font>
      <sz val="9"/>
      <color rgb="FF00B050"/>
      <name val="Calibri"/>
      <family val="2"/>
      <scheme val="minor"/>
    </font>
    <font>
      <sz val="7"/>
      <color theme="3"/>
      <name val="Arial"/>
      <family val="2"/>
    </font>
    <font>
      <sz val="8"/>
      <color theme="3"/>
      <name val="Arial"/>
      <family val="2"/>
    </font>
    <font>
      <sz val="10"/>
      <color rgb="FFFF0000"/>
      <name val="Calibri"/>
      <family val="2"/>
      <scheme val="minor"/>
    </font>
    <font>
      <sz val="9"/>
      <color rgb="FFFF0000"/>
      <name val="Calibri"/>
      <family val="2"/>
      <scheme val="minor"/>
    </font>
    <font>
      <sz val="11"/>
      <color rgb="FF0070C0"/>
      <name val="Comic Sans MS"/>
      <family val="4"/>
    </font>
    <font>
      <sz val="9"/>
      <name val="Comic Sans MS"/>
      <family val="4"/>
    </font>
    <font>
      <sz val="11"/>
      <color theme="1"/>
      <name val="Comic Sans MS"/>
      <family val="4"/>
    </font>
    <font>
      <sz val="12"/>
      <color rgb="FF0000FF"/>
      <name val="Comic Sans MS"/>
      <family val="4"/>
    </font>
    <font>
      <sz val="12"/>
      <color rgb="FF0070C0"/>
      <name val="Comic Sans MS"/>
      <family val="4"/>
    </font>
    <font>
      <sz val="12"/>
      <color theme="1"/>
      <name val="Comic Sans MS"/>
      <family val="4"/>
    </font>
    <font>
      <i/>
      <sz val="10"/>
      <color theme="1"/>
      <name val="Calibri"/>
      <family val="2"/>
      <scheme val="minor"/>
    </font>
    <font>
      <sz val="10"/>
      <color theme="0"/>
      <name val="Arial"/>
      <family val="2"/>
    </font>
    <font>
      <i/>
      <sz val="8"/>
      <color rgb="FF0000FF"/>
      <name val="Arial"/>
      <family val="2"/>
    </font>
    <font>
      <sz val="9"/>
      <color theme="1"/>
      <name val="Calibri"/>
      <family val="2"/>
      <scheme val="minor"/>
    </font>
    <font>
      <sz val="8"/>
      <name val="Comic Sans MS"/>
      <family val="4"/>
    </font>
    <font>
      <b/>
      <sz val="14"/>
      <color rgb="FF00B050"/>
      <name val="Arial"/>
      <family val="2"/>
    </font>
    <font>
      <sz val="10"/>
      <color rgb="FF00B050"/>
      <name val="Arial"/>
      <family val="2"/>
    </font>
    <font>
      <b/>
      <sz val="14"/>
      <color rgb="FFFF0000"/>
      <name val="Arial"/>
      <family val="2"/>
    </font>
    <font>
      <b/>
      <i/>
      <sz val="10"/>
      <color indexed="12"/>
      <name val="Arial"/>
      <family val="2"/>
    </font>
    <font>
      <b/>
      <i/>
      <sz val="10"/>
      <color indexed="10"/>
      <name val="Arial"/>
      <family val="2"/>
    </font>
    <font>
      <i/>
      <sz val="10"/>
      <color rgb="FF00B050"/>
      <name val="Arial"/>
      <family val="2"/>
    </font>
    <font>
      <b/>
      <i/>
      <sz val="14"/>
      <color indexed="10"/>
      <name val="Arial"/>
      <family val="2"/>
    </font>
    <font>
      <sz val="16"/>
      <color rgb="FFFF0000"/>
      <name val="Arial"/>
      <family val="2"/>
    </font>
    <font>
      <sz val="13"/>
      <color rgb="FFFF0000"/>
      <name val="Comic Sans MS"/>
      <family val="4"/>
    </font>
    <font>
      <b/>
      <sz val="7.5"/>
      <color rgb="FF000000"/>
      <name val="Verdana"/>
      <family val="2"/>
    </font>
    <font>
      <sz val="12"/>
      <color rgb="FF00B050"/>
      <name val="Arial"/>
      <family val="2"/>
    </font>
    <font>
      <b/>
      <sz val="10"/>
      <color indexed="9"/>
      <name val="Arial"/>
      <family val="2"/>
    </font>
    <font>
      <sz val="7.5"/>
      <color theme="1"/>
      <name val="Verdana"/>
      <family val="2"/>
    </font>
    <font>
      <u/>
      <sz val="11"/>
      <color theme="10"/>
      <name val="Calibri"/>
      <family val="2"/>
    </font>
    <font>
      <sz val="8"/>
      <color indexed="17"/>
      <name val="Arial"/>
      <family val="2"/>
    </font>
    <font>
      <sz val="12"/>
      <color rgb="FF0070C0"/>
      <name val="Arial"/>
      <family val="2"/>
    </font>
    <font>
      <sz val="16"/>
      <color rgb="FF0070C0"/>
      <name val="Arial"/>
      <family val="2"/>
    </font>
    <font>
      <b/>
      <i/>
      <sz val="14"/>
      <name val="Arial"/>
      <family val="2"/>
    </font>
    <font>
      <b/>
      <sz val="13"/>
      <name val="Arial"/>
      <family val="2"/>
    </font>
    <font>
      <i/>
      <sz val="10"/>
      <name val="Comic Sans MS"/>
      <family val="4"/>
    </font>
    <font>
      <sz val="20"/>
      <name val="Arial"/>
      <family val="2"/>
    </font>
    <font>
      <b/>
      <i/>
      <sz val="12"/>
      <name val="Comic Sans MS"/>
      <family val="4"/>
    </font>
    <font>
      <sz val="8"/>
      <color theme="0" tint="-0.499984740745262"/>
      <name val="Arial"/>
      <family val="2"/>
    </font>
    <font>
      <b/>
      <sz val="14"/>
      <color theme="0" tint="-0.499984740745262"/>
      <name val="Arial"/>
      <family val="2"/>
    </font>
    <font>
      <sz val="7"/>
      <color theme="0"/>
      <name val="Arial"/>
      <family val="2"/>
    </font>
    <font>
      <sz val="14"/>
      <color theme="0"/>
      <name val="Arial"/>
      <family val="2"/>
    </font>
    <font>
      <b/>
      <sz val="10"/>
      <color theme="0"/>
      <name val="Arial"/>
      <family val="2"/>
    </font>
    <font>
      <sz val="13"/>
      <color theme="0"/>
      <name val="Comic Sans MS"/>
      <family val="4"/>
    </font>
    <font>
      <sz val="12"/>
      <color theme="0"/>
      <name val="Arial"/>
      <family val="2"/>
    </font>
    <font>
      <b/>
      <sz val="12"/>
      <color theme="0"/>
      <name val="Arial"/>
      <family val="2"/>
    </font>
    <font>
      <b/>
      <sz val="10"/>
      <color theme="4"/>
      <name val="Arial"/>
      <family val="2"/>
    </font>
    <font>
      <sz val="7"/>
      <color theme="4"/>
      <name val="Arial"/>
      <family val="2"/>
    </font>
    <font>
      <sz val="10"/>
      <color theme="4"/>
      <name val="Arial"/>
      <family val="2"/>
    </font>
    <font>
      <sz val="14"/>
      <color theme="4"/>
      <name val="Arial"/>
      <family val="2"/>
    </font>
    <font>
      <sz val="9"/>
      <color theme="4"/>
      <name val="Arial"/>
      <family val="2"/>
    </font>
    <font>
      <sz val="8"/>
      <color theme="4"/>
      <name val="Arial"/>
      <family val="2"/>
    </font>
    <font>
      <i/>
      <sz val="14"/>
      <color theme="4"/>
      <name val="Arial"/>
      <family val="2"/>
    </font>
    <font>
      <b/>
      <i/>
      <sz val="14"/>
      <color theme="4"/>
      <name val="Arial"/>
      <family val="2"/>
    </font>
    <font>
      <sz val="9"/>
      <color rgb="FFFF0000"/>
      <name val="Arial"/>
      <family val="2"/>
    </font>
    <font>
      <sz val="8"/>
      <color rgb="FFFF0000"/>
      <name val="Comic Sans MS"/>
      <family val="4"/>
    </font>
    <font>
      <b/>
      <sz val="8"/>
      <color rgb="FFFF0000"/>
      <name val="Arial"/>
      <family val="2"/>
    </font>
    <font>
      <b/>
      <sz val="10"/>
      <color rgb="FFFF0000"/>
      <name val="Arial"/>
      <family val="2"/>
    </font>
    <font>
      <sz val="14"/>
      <color rgb="FFFF0000"/>
      <name val="Arial"/>
      <family val="2"/>
    </font>
    <font>
      <b/>
      <i/>
      <sz val="10"/>
      <color indexed="9"/>
      <name val="Arial"/>
      <family val="2"/>
    </font>
    <font>
      <sz val="6"/>
      <name val="Arial"/>
      <family val="2"/>
    </font>
    <font>
      <sz val="8"/>
      <color indexed="9"/>
      <name val="Comic Sans MS"/>
      <family val="4"/>
    </font>
    <font>
      <b/>
      <sz val="8"/>
      <color indexed="9"/>
      <name val="Arial"/>
      <family val="2"/>
    </font>
    <font>
      <sz val="9"/>
      <color indexed="9"/>
      <name val="Arial"/>
      <family val="2"/>
    </font>
    <font>
      <b/>
      <sz val="18"/>
      <name val="Comic Sans MS"/>
      <family val="4"/>
    </font>
    <font>
      <sz val="11"/>
      <color indexed="17"/>
      <name val="Arial"/>
      <family val="2"/>
    </font>
    <font>
      <sz val="9"/>
      <color rgb="FF0000FF"/>
      <name val="Arial"/>
      <family val="2"/>
    </font>
    <font>
      <i/>
      <sz val="11"/>
      <color theme="6" tint="-0.499984740745262"/>
      <name val="Arial"/>
      <family val="2"/>
    </font>
    <font>
      <sz val="10"/>
      <color theme="3" tint="-0.249977111117893"/>
      <name val="Arial"/>
      <family val="2"/>
    </font>
    <font>
      <b/>
      <sz val="11"/>
      <color theme="1"/>
      <name val="Calibri"/>
      <family val="2"/>
      <scheme val="minor"/>
    </font>
    <font>
      <sz val="14"/>
      <color theme="3" tint="0.39997558519241921"/>
      <name val="Arial Rounded MT Bold"/>
      <family val="2"/>
    </font>
    <font>
      <sz val="14"/>
      <name val="Arial Rounded MT Bold"/>
      <family val="2"/>
    </font>
    <font>
      <sz val="10"/>
      <name val="Arial Rounded MT Bold"/>
      <family val="2"/>
    </font>
    <font>
      <i/>
      <sz val="8"/>
      <color rgb="FF339966"/>
      <name val="Arial"/>
      <family val="2"/>
    </font>
    <font>
      <sz val="8"/>
      <color rgb="FF00B050"/>
      <name val="Calibri"/>
      <family val="2"/>
      <scheme val="minor"/>
    </font>
    <font>
      <b/>
      <sz val="10"/>
      <color theme="1"/>
      <name val="Arial"/>
      <family val="2"/>
    </font>
    <font>
      <i/>
      <sz val="8"/>
      <color rgb="FF00B050"/>
      <name val="Arial"/>
      <family val="2"/>
    </font>
    <font>
      <sz val="8"/>
      <color rgb="FF00B050"/>
      <name val="Arial"/>
      <family val="2"/>
    </font>
    <font>
      <i/>
      <sz val="8"/>
      <color rgb="FF339966"/>
      <name val="Calibri"/>
      <family val="2"/>
      <scheme val="minor"/>
    </font>
    <font>
      <i/>
      <sz val="8"/>
      <color rgb="FF00B050"/>
      <name val="Calibri"/>
      <family val="2"/>
      <scheme val="minor"/>
    </font>
    <font>
      <sz val="10"/>
      <name val="Calibri"/>
      <family val="2"/>
      <scheme val="minor"/>
    </font>
    <font>
      <b/>
      <i/>
      <sz val="8"/>
      <color rgb="FF00B050"/>
      <name val="Arial"/>
      <family val="2"/>
    </font>
    <font>
      <sz val="8"/>
      <name val="Arial Rounded MT Bold"/>
      <family val="2"/>
    </font>
    <font>
      <sz val="8"/>
      <color theme="1"/>
      <name val="Calibri"/>
      <family val="2"/>
      <scheme val="minor"/>
    </font>
    <font>
      <b/>
      <sz val="12"/>
      <color rgb="FFFF0000"/>
      <name val="Arial"/>
      <family val="2"/>
    </font>
    <font>
      <b/>
      <sz val="10"/>
      <color rgb="FFC00000"/>
      <name val="Arial"/>
      <family val="2"/>
    </font>
    <font>
      <b/>
      <i/>
      <u/>
      <sz val="10"/>
      <color rgb="FF339966"/>
      <name val="Arial"/>
      <family val="2"/>
    </font>
    <font>
      <i/>
      <sz val="10"/>
      <color rgb="FF339966"/>
      <name val="Arial"/>
      <family val="2"/>
    </font>
    <font>
      <i/>
      <sz val="16"/>
      <name val="Comic Sans MS"/>
      <family val="4"/>
    </font>
    <font>
      <sz val="12"/>
      <color indexed="48"/>
      <name val="Arial"/>
      <family val="2"/>
    </font>
    <font>
      <b/>
      <u/>
      <sz val="12"/>
      <color indexed="12"/>
      <name val="Arial"/>
      <family val="2"/>
    </font>
    <font>
      <sz val="8"/>
      <color indexed="48"/>
      <name val="Arial"/>
      <family val="2"/>
    </font>
    <font>
      <i/>
      <sz val="12"/>
      <color theme="0"/>
      <name val="Arial"/>
      <family val="2"/>
    </font>
    <font>
      <sz val="12"/>
      <color rgb="FF0000FF"/>
      <name val="Arial"/>
      <family val="2"/>
    </font>
    <font>
      <sz val="9"/>
      <name val="Verdana"/>
      <family val="2"/>
    </font>
    <font>
      <sz val="12"/>
      <name val="Verdana"/>
      <family val="2"/>
    </font>
    <font>
      <b/>
      <sz val="12"/>
      <color rgb="FF0000FF"/>
      <name val="Arial"/>
      <family val="2"/>
    </font>
    <font>
      <b/>
      <sz val="12"/>
      <color rgb="FF00B050"/>
      <name val="Arial"/>
      <family val="2"/>
    </font>
    <font>
      <sz val="11"/>
      <color indexed="8"/>
      <name val="Arial"/>
      <family val="2"/>
    </font>
    <font>
      <b/>
      <sz val="12"/>
      <color indexed="8"/>
      <name val="Verdana"/>
      <family val="2"/>
    </font>
    <font>
      <i/>
      <sz val="12"/>
      <name val="Arial"/>
      <family val="2"/>
    </font>
    <font>
      <u/>
      <sz val="12"/>
      <color indexed="12"/>
      <name val="Arial"/>
      <family val="2"/>
    </font>
    <font>
      <b/>
      <sz val="12"/>
      <name val="Verdana"/>
      <family val="2"/>
    </font>
    <font>
      <b/>
      <u/>
      <sz val="12"/>
      <color rgb="FF00B050"/>
      <name val="Arial"/>
      <family val="2"/>
    </font>
    <font>
      <sz val="10"/>
      <color indexed="48"/>
      <name val="Arial"/>
      <family val="2"/>
    </font>
    <font>
      <sz val="8"/>
      <color theme="0"/>
      <name val="Arial"/>
      <family val="2"/>
    </font>
    <font>
      <b/>
      <sz val="16"/>
      <color theme="0"/>
      <name val="Arial"/>
      <family val="2"/>
    </font>
  </fonts>
  <fills count="48">
    <fill>
      <patternFill patternType="none"/>
    </fill>
    <fill>
      <patternFill patternType="gray125"/>
    </fill>
    <fill>
      <patternFill patternType="solid">
        <fgColor indexed="58"/>
        <bgColor indexed="59"/>
      </patternFill>
    </fill>
    <fill>
      <patternFill patternType="solid">
        <fgColor indexed="9"/>
        <bgColor indexed="45"/>
      </patternFill>
    </fill>
    <fill>
      <patternFill patternType="solid">
        <fgColor indexed="42"/>
        <bgColor indexed="27"/>
      </patternFill>
    </fill>
    <fill>
      <patternFill patternType="solid">
        <fgColor indexed="27"/>
        <bgColor indexed="41"/>
      </patternFill>
    </fill>
    <fill>
      <patternFill patternType="solid">
        <fgColor indexed="26"/>
        <bgColor indexed="9"/>
      </patternFill>
    </fill>
    <fill>
      <patternFill patternType="solid">
        <fgColor indexed="47"/>
        <bgColor indexed="22"/>
      </patternFill>
    </fill>
    <fill>
      <patternFill patternType="solid">
        <fgColor indexed="9"/>
        <bgColor indexed="27"/>
      </patternFill>
    </fill>
    <fill>
      <patternFill patternType="solid">
        <fgColor indexed="9"/>
        <bgColor indexed="64"/>
      </patternFill>
    </fill>
    <fill>
      <patternFill patternType="solid">
        <fgColor indexed="42"/>
        <bgColor indexed="45"/>
      </patternFill>
    </fill>
    <fill>
      <patternFill patternType="solid">
        <fgColor indexed="42"/>
        <bgColor indexed="64"/>
      </patternFill>
    </fill>
    <fill>
      <patternFill patternType="solid">
        <fgColor indexed="9"/>
        <bgColor indexed="9"/>
      </patternFill>
    </fill>
    <fill>
      <patternFill patternType="solid">
        <fgColor indexed="26"/>
        <bgColor indexed="45"/>
      </patternFill>
    </fill>
    <fill>
      <patternFill patternType="solid">
        <fgColor indexed="26"/>
        <bgColor indexed="64"/>
      </patternFill>
    </fill>
    <fill>
      <patternFill patternType="solid">
        <fgColor indexed="43"/>
        <bgColor indexed="64"/>
      </patternFill>
    </fill>
    <fill>
      <patternFill patternType="solid">
        <fgColor indexed="9"/>
        <bgColor indexed="26"/>
      </patternFill>
    </fill>
    <fill>
      <patternFill patternType="solid">
        <fgColor indexed="47"/>
        <bgColor indexed="64"/>
      </patternFill>
    </fill>
    <fill>
      <patternFill patternType="solid">
        <fgColor indexed="41"/>
        <bgColor indexed="64"/>
      </patternFill>
    </fill>
    <fill>
      <patternFill patternType="solid">
        <fgColor theme="0"/>
        <bgColor indexed="64"/>
      </patternFill>
    </fill>
    <fill>
      <patternFill patternType="solid">
        <fgColor theme="0"/>
        <bgColor indexed="45"/>
      </patternFill>
    </fill>
    <fill>
      <patternFill patternType="solid">
        <fgColor theme="0"/>
        <bgColor indexed="27"/>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CECEFF"/>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CCCCCC"/>
        <bgColor indexed="64"/>
      </patternFill>
    </fill>
    <fill>
      <patternFill patternType="solid">
        <fgColor theme="4" tint="0.79998168889431442"/>
        <bgColor indexed="45"/>
      </patternFill>
    </fill>
    <fill>
      <patternFill patternType="solid">
        <fgColor rgb="FFEBEBEB"/>
        <bgColor indexed="64"/>
      </patternFill>
    </fill>
    <fill>
      <patternFill patternType="gray0625"/>
    </fill>
    <fill>
      <patternFill patternType="solid">
        <fgColor rgb="FFD2E9FF"/>
        <bgColor indexed="64"/>
      </patternFill>
    </fill>
    <fill>
      <patternFill patternType="gray0625">
        <bgColor indexed="41"/>
      </patternFill>
    </fill>
    <fill>
      <patternFill patternType="solid">
        <fgColor theme="0"/>
        <bgColor indexed="9"/>
      </patternFill>
    </fill>
    <fill>
      <patternFill patternType="solid">
        <fgColor theme="0"/>
        <bgColor indexed="26"/>
      </patternFill>
    </fill>
    <fill>
      <patternFill patternType="solid">
        <fgColor theme="2"/>
        <bgColor indexed="9"/>
      </patternFill>
    </fill>
    <fill>
      <patternFill patternType="solid">
        <fgColor theme="2" tint="-9.9978637043366805E-2"/>
        <bgColor indexed="9"/>
      </patternFill>
    </fill>
    <fill>
      <patternFill patternType="solid">
        <fgColor theme="2"/>
        <bgColor indexed="64"/>
      </patternFill>
    </fill>
    <fill>
      <patternFill patternType="solid">
        <fgColor theme="2" tint="-9.9978637043366805E-2"/>
        <bgColor indexed="64"/>
      </patternFill>
    </fill>
    <fill>
      <patternFill patternType="solid">
        <fgColor theme="6" tint="0.39997558519241921"/>
        <bgColor indexed="9"/>
      </patternFill>
    </fill>
    <fill>
      <patternFill patternType="solid">
        <fgColor theme="6" tint="0.79998168889431442"/>
        <bgColor indexed="9"/>
      </patternFill>
    </fill>
    <fill>
      <patternFill patternType="solid">
        <fgColor theme="9" tint="0.79998168889431442"/>
        <bgColor indexed="9"/>
      </patternFill>
    </fill>
    <fill>
      <patternFill patternType="solid">
        <fgColor rgb="FFFFFFCC"/>
        <bgColor indexed="64"/>
      </patternFill>
    </fill>
    <fill>
      <patternFill patternType="solid">
        <fgColor indexed="31"/>
        <bgColor indexed="64"/>
      </patternFill>
    </fill>
    <fill>
      <patternFill patternType="solid">
        <fgColor indexed="22"/>
        <bgColor indexed="64"/>
      </patternFill>
    </fill>
    <fill>
      <patternFill patternType="solid">
        <fgColor indexed="27"/>
        <bgColor indexed="64"/>
      </patternFill>
    </fill>
  </fills>
  <borders count="129">
    <border>
      <left/>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double">
        <color indexed="8"/>
      </left>
      <right style="thin">
        <color indexed="8"/>
      </right>
      <top style="thin">
        <color indexed="8"/>
      </top>
      <bottom style="hair">
        <color indexed="8"/>
      </bottom>
      <diagonal/>
    </border>
    <border>
      <left/>
      <right/>
      <top style="thin">
        <color indexed="8"/>
      </top>
      <bottom/>
      <diagonal/>
    </border>
    <border>
      <left/>
      <right style="thin">
        <color indexed="8"/>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12"/>
      </right>
      <top style="dotted">
        <color indexed="12"/>
      </top>
      <bottom style="dotted">
        <color indexed="12"/>
      </bottom>
      <diagonal/>
    </border>
    <border>
      <left style="dotted">
        <color indexed="12"/>
      </left>
      <right style="dotted">
        <color indexed="12"/>
      </right>
      <top style="dotted">
        <color indexed="12"/>
      </top>
      <bottom style="dotted">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dotted">
        <color indexed="64"/>
      </right>
      <top style="thin">
        <color indexed="8"/>
      </top>
      <bottom style="dotted">
        <color indexed="8"/>
      </bottom>
      <diagonal/>
    </border>
    <border>
      <left style="dotted">
        <color indexed="64"/>
      </left>
      <right style="dotted">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left style="thin">
        <color indexed="8"/>
      </left>
      <right style="dotted">
        <color indexed="64"/>
      </right>
      <top style="dotted">
        <color indexed="8"/>
      </top>
      <bottom style="dotted">
        <color indexed="8"/>
      </bottom>
      <diagonal/>
    </border>
    <border>
      <left style="dotted">
        <color indexed="64"/>
      </left>
      <right style="dotted">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8"/>
      </bottom>
      <diagonal/>
    </border>
    <border>
      <left style="thin">
        <color auto="1"/>
      </left>
      <right/>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top/>
      <bottom style="medium">
        <color rgb="FF000000"/>
      </bottom>
      <diagonal/>
    </border>
    <border>
      <left/>
      <right style="medium">
        <color rgb="FF000000"/>
      </right>
      <top/>
      <bottom style="medium">
        <color rgb="FF000000"/>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dotted">
        <color indexed="12"/>
      </right>
      <top/>
      <bottom style="dotted">
        <color indexed="12"/>
      </bottom>
      <diagonal/>
    </border>
    <border>
      <left style="dotted">
        <color indexed="12"/>
      </left>
      <right style="dotted">
        <color indexed="12"/>
      </right>
      <top/>
      <bottom style="dotted">
        <color indexed="12"/>
      </bottom>
      <diagonal/>
    </border>
    <border>
      <left style="medium">
        <color indexed="64"/>
      </left>
      <right style="thin">
        <color indexed="64"/>
      </right>
      <top/>
      <bottom style="thin">
        <color indexed="64"/>
      </bottom>
      <diagonal/>
    </border>
    <border>
      <left style="thin">
        <color indexed="64"/>
      </left>
      <right style="dotted">
        <color indexed="12"/>
      </right>
      <top style="dotted">
        <color indexed="12"/>
      </top>
      <bottom style="dotted">
        <color indexed="64"/>
      </bottom>
      <diagonal/>
    </border>
    <border>
      <left style="dotted">
        <color indexed="12"/>
      </left>
      <right style="dotted">
        <color indexed="12"/>
      </right>
      <top style="dotted">
        <color indexed="12"/>
      </top>
      <bottom style="dotted">
        <color indexed="64"/>
      </bottom>
      <diagonal/>
    </border>
    <border>
      <left/>
      <right style="thin">
        <color indexed="64"/>
      </right>
      <top/>
      <bottom/>
      <diagonal/>
    </border>
    <border>
      <left style="dotted">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double">
        <color indexed="64"/>
      </right>
      <top style="dotted">
        <color indexed="64"/>
      </top>
      <bottom/>
      <diagonal/>
    </border>
    <border>
      <left style="thin">
        <color indexed="8"/>
      </left>
      <right style="dotted">
        <color indexed="64"/>
      </right>
      <top style="dotted">
        <color indexed="8"/>
      </top>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8"/>
      </left>
      <right style="dotted">
        <color indexed="64"/>
      </right>
      <top style="dotted">
        <color indexed="8"/>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dashed">
        <color indexed="64"/>
      </left>
      <right style="dashed">
        <color indexed="64"/>
      </right>
      <top style="dashed">
        <color indexed="64"/>
      </top>
      <bottom style="dashed">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double">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8"/>
      </left>
      <right style="thin">
        <color indexed="8"/>
      </right>
      <top style="thin">
        <color indexed="8"/>
      </top>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
      <left style="hair">
        <color indexed="64"/>
      </left>
      <right style="medium">
        <color indexed="64"/>
      </right>
      <top style="thin">
        <color indexed="64"/>
      </top>
      <bottom style="hair">
        <color indexed="64"/>
      </bottom>
      <diagonal/>
    </border>
    <border>
      <left/>
      <right style="dash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8">
    <xf numFmtId="0" fontId="0" fillId="0" borderId="0"/>
    <xf numFmtId="164" fontId="76" fillId="0" borderId="0" applyFill="0" applyBorder="0" applyAlignment="0" applyProtection="0"/>
    <xf numFmtId="165" fontId="76" fillId="0" borderId="0" applyFill="0" applyBorder="0" applyAlignment="0" applyProtection="0"/>
    <xf numFmtId="166" fontId="76" fillId="0" borderId="0" applyFill="0" applyBorder="0" applyAlignment="0" applyProtection="0"/>
    <xf numFmtId="0" fontId="21" fillId="0" borderId="0" applyNumberFormat="0" applyFill="0" applyBorder="0" applyAlignment="0" applyProtection="0"/>
    <xf numFmtId="0" fontId="4" fillId="0" borderId="0"/>
    <xf numFmtId="0" fontId="3" fillId="0" borderId="0"/>
    <xf numFmtId="9" fontId="3" fillId="0" borderId="0" applyFont="0" applyFill="0" applyBorder="0" applyAlignment="0" applyProtection="0"/>
    <xf numFmtId="0" fontId="76" fillId="2" borderId="0"/>
    <xf numFmtId="167" fontId="76" fillId="0" borderId="0" applyFill="0" applyBorder="0" applyAlignment="0" applyProtection="0"/>
    <xf numFmtId="168" fontId="76" fillId="0" borderId="0" applyFill="0" applyBorder="0" applyAlignment="0" applyProtection="0"/>
    <xf numFmtId="9" fontId="3" fillId="0" borderId="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9" fontId="3"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164" fontId="3" fillId="0" borderId="0" applyFill="0" applyBorder="0" applyAlignment="0" applyProtection="0"/>
    <xf numFmtId="165" fontId="3" fillId="0" borderId="0" applyFill="0" applyBorder="0" applyAlignment="0" applyProtection="0"/>
    <xf numFmtId="182" fontId="3" fillId="0" borderId="0" applyFill="0" applyBorder="0" applyAlignment="0" applyProtection="0"/>
    <xf numFmtId="166" fontId="3" fillId="0" borderId="0" applyFill="0" applyBorder="0" applyAlignment="0" applyProtection="0"/>
    <xf numFmtId="0" fontId="3" fillId="0" borderId="0"/>
    <xf numFmtId="0" fontId="3" fillId="0" borderId="0"/>
  </cellStyleXfs>
  <cellXfs count="1603">
    <xf numFmtId="0" fontId="0" fillId="0" borderId="0" xfId="0"/>
    <xf numFmtId="0" fontId="0" fillId="3" borderId="0" xfId="0" applyFill="1"/>
    <xf numFmtId="169" fontId="5" fillId="3" borderId="0" xfId="0" applyNumberFormat="1" applyFont="1" applyFill="1" applyAlignment="1">
      <alignment horizontal="right"/>
    </xf>
    <xf numFmtId="0" fontId="6" fillId="3" borderId="0" xfId="0" applyFont="1" applyFill="1"/>
    <xf numFmtId="0" fontId="0" fillId="3" borderId="0" xfId="0" applyFill="1" applyAlignment="1">
      <alignment horizontal="left"/>
    </xf>
    <xf numFmtId="0" fontId="0" fillId="3" borderId="0" xfId="0" applyFill="1" applyAlignment="1">
      <alignment horizontal="center"/>
    </xf>
    <xf numFmtId="170" fontId="8" fillId="3" borderId="0" xfId="0" applyNumberFormat="1" applyFont="1" applyFill="1"/>
    <xf numFmtId="0" fontId="0" fillId="3" borderId="0" xfId="0" applyFill="1" applyAlignment="1">
      <alignment vertical="center"/>
    </xf>
    <xf numFmtId="0" fontId="9" fillId="3" borderId="1" xfId="0" applyFont="1" applyFill="1" applyBorder="1"/>
    <xf numFmtId="0" fontId="9" fillId="3" borderId="1" xfId="0" applyFont="1" applyFill="1" applyBorder="1" applyAlignment="1">
      <alignment horizontal="left"/>
    </xf>
    <xf numFmtId="0" fontId="10" fillId="4" borderId="0" xfId="0" applyFont="1" applyFill="1" applyAlignment="1"/>
    <xf numFmtId="0" fontId="0" fillId="4" borderId="0" xfId="0" applyFill="1" applyAlignment="1"/>
    <xf numFmtId="0" fontId="11" fillId="4" borderId="0" xfId="0" applyFont="1" applyFill="1" applyAlignment="1">
      <alignment horizontal="center"/>
    </xf>
    <xf numFmtId="0" fontId="0" fillId="4" borderId="0" xfId="0" applyFill="1"/>
    <xf numFmtId="9" fontId="0" fillId="4" borderId="0" xfId="0" applyNumberFormat="1" applyFill="1"/>
    <xf numFmtId="0" fontId="0" fillId="5" borderId="2" xfId="0" applyFill="1" applyBorder="1" applyAlignment="1">
      <alignment horizontal="center"/>
    </xf>
    <xf numFmtId="1" fontId="0" fillId="5" borderId="3" xfId="0" applyNumberFormat="1" applyFont="1" applyFill="1" applyBorder="1" applyAlignment="1">
      <alignment horizontal="right"/>
    </xf>
    <xf numFmtId="1" fontId="0" fillId="5" borderId="2" xfId="0" applyNumberFormat="1" applyFont="1" applyFill="1" applyBorder="1" applyAlignment="1">
      <alignment horizontal="center"/>
    </xf>
    <xf numFmtId="0" fontId="0" fillId="4" borderId="0" xfId="0" applyFill="1" applyAlignment="1">
      <alignment horizontal="center"/>
    </xf>
    <xf numFmtId="0" fontId="0" fillId="4" borderId="0" xfId="0" applyFont="1" applyFill="1" applyAlignment="1"/>
    <xf numFmtId="0" fontId="0" fillId="0" borderId="0" xfId="0" applyAlignment="1">
      <alignment horizontal="left"/>
    </xf>
    <xf numFmtId="0" fontId="12" fillId="4" borderId="0" xfId="0" applyFont="1" applyFill="1"/>
    <xf numFmtId="171" fontId="0" fillId="4" borderId="0" xfId="0" applyNumberFormat="1" applyFill="1" applyAlignment="1">
      <alignment horizontal="left"/>
    </xf>
    <xf numFmtId="9" fontId="0" fillId="4" borderId="0" xfId="0" applyNumberFormat="1" applyFill="1" applyAlignment="1">
      <alignment horizontal="center"/>
    </xf>
    <xf numFmtId="9" fontId="0" fillId="4" borderId="0" xfId="0" applyNumberFormat="1" applyFill="1" applyAlignment="1">
      <alignment horizontal="right"/>
    </xf>
    <xf numFmtId="171" fontId="0" fillId="4" borderId="0" xfId="0" applyNumberFormat="1" applyFill="1" applyAlignment="1">
      <alignment horizontal="center"/>
    </xf>
    <xf numFmtId="0" fontId="13" fillId="4" borderId="0" xfId="0" applyFont="1" applyFill="1"/>
    <xf numFmtId="0" fontId="14" fillId="4" borderId="0" xfId="0" applyFont="1" applyFill="1"/>
    <xf numFmtId="0" fontId="11" fillId="4" borderId="0" xfId="0" applyFont="1" applyFill="1"/>
    <xf numFmtId="1" fontId="0" fillId="4" borderId="0" xfId="0" applyNumberFormat="1" applyFill="1"/>
    <xf numFmtId="0" fontId="15" fillId="4" borderId="0" xfId="0" applyFont="1" applyFill="1"/>
    <xf numFmtId="1" fontId="0" fillId="4" borderId="0" xfId="0" applyNumberFormat="1" applyFill="1" applyAlignment="1">
      <alignment horizontal="left"/>
    </xf>
    <xf numFmtId="0" fontId="13" fillId="3" borderId="0" xfId="0" applyFont="1" applyFill="1"/>
    <xf numFmtId="0" fontId="14" fillId="3" borderId="0" xfId="0" applyFont="1" applyFill="1"/>
    <xf numFmtId="0" fontId="11" fillId="3" borderId="0" xfId="0" applyFont="1" applyFill="1"/>
    <xf numFmtId="1" fontId="0" fillId="3" borderId="0" xfId="0" applyNumberFormat="1" applyFill="1"/>
    <xf numFmtId="0" fontId="15" fillId="3" borderId="0" xfId="0" applyFont="1" applyFill="1"/>
    <xf numFmtId="1" fontId="0" fillId="3" borderId="0" xfId="0" applyNumberFormat="1" applyFill="1" applyAlignment="1">
      <alignment horizontal="left"/>
    </xf>
    <xf numFmtId="0" fontId="0" fillId="3" borderId="0" xfId="0" applyFill="1" applyBorder="1" applyAlignment="1"/>
    <xf numFmtId="0" fontId="11" fillId="3" borderId="0" xfId="0" applyFont="1" applyFill="1" applyAlignment="1">
      <alignment horizontal="center"/>
    </xf>
    <xf numFmtId="0" fontId="11" fillId="3" borderId="0" xfId="0" applyFont="1" applyFill="1" applyAlignment="1">
      <alignment horizontal="left"/>
    </xf>
    <xf numFmtId="0" fontId="0" fillId="3" borderId="5" xfId="0" applyFill="1" applyBorder="1" applyAlignment="1"/>
    <xf numFmtId="0" fontId="11" fillId="6" borderId="6" xfId="0" applyFont="1" applyFill="1"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0" fillId="6" borderId="7" xfId="0" applyFill="1" applyBorder="1" applyAlignment="1">
      <alignment horizontal="center"/>
    </xf>
    <xf numFmtId="0" fontId="0" fillId="7" borderId="0" xfId="0" applyFill="1" applyAlignment="1" applyProtection="1">
      <alignment horizontal="left" shrinkToFit="1"/>
      <protection hidden="1"/>
    </xf>
    <xf numFmtId="1" fontId="0" fillId="7" borderId="0" xfId="0" applyNumberFormat="1" applyFill="1" applyAlignment="1">
      <alignment horizontal="center"/>
    </xf>
    <xf numFmtId="0" fontId="16" fillId="6" borderId="8" xfId="0" applyFont="1" applyFill="1" applyBorder="1" applyAlignment="1">
      <alignment horizontal="center"/>
    </xf>
    <xf numFmtId="0" fontId="11" fillId="6" borderId="8" xfId="0" applyFont="1" applyFill="1" applyBorder="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0" xfId="0" applyFill="1" applyBorder="1" applyAlignment="1">
      <alignment horizontal="center"/>
    </xf>
    <xf numFmtId="0" fontId="16" fillId="6" borderId="2" xfId="0" applyFont="1" applyFill="1" applyBorder="1" applyAlignment="1">
      <alignment horizontal="center"/>
    </xf>
    <xf numFmtId="0" fontId="11" fillId="6" borderId="2" xfId="0" applyFont="1" applyFill="1" applyBorder="1" applyAlignment="1">
      <alignment horizontal="center"/>
    </xf>
    <xf numFmtId="0" fontId="17" fillId="7" borderId="0" xfId="0" applyFont="1" applyFill="1" applyAlignment="1" applyProtection="1">
      <alignment horizontal="left"/>
      <protection hidden="1"/>
    </xf>
    <xf numFmtId="1" fontId="17" fillId="7" borderId="0" xfId="0" applyNumberFormat="1" applyFont="1" applyFill="1" applyAlignment="1">
      <alignment horizontal="center"/>
    </xf>
    <xf numFmtId="0" fontId="4" fillId="4" borderId="0" xfId="0" applyFont="1" applyFill="1" applyBorder="1"/>
    <xf numFmtId="0" fontId="4" fillId="4" borderId="0" xfId="0" applyFont="1" applyFill="1" applyBorder="1" applyAlignment="1">
      <alignment horizontal="center"/>
    </xf>
    <xf numFmtId="0" fontId="0" fillId="3" borderId="0" xfId="0" applyFill="1" applyBorder="1"/>
    <xf numFmtId="0" fontId="0" fillId="3" borderId="0" xfId="0" applyFill="1" applyBorder="1" applyAlignment="1">
      <alignment horizontal="center"/>
    </xf>
    <xf numFmtId="0" fontId="11" fillId="6" borderId="3" xfId="0" applyFont="1" applyFill="1" applyBorder="1" applyAlignment="1">
      <alignment horizontal="center"/>
    </xf>
    <xf numFmtId="0" fontId="11" fillId="6" borderId="10" xfId="0" applyFont="1" applyFill="1" applyBorder="1" applyAlignment="1">
      <alignment horizontal="center"/>
    </xf>
    <xf numFmtId="0" fontId="4" fillId="4" borderId="0" xfId="0" applyFont="1" applyFill="1"/>
    <xf numFmtId="0" fontId="19" fillId="4" borderId="0" xfId="0" applyFont="1" applyFill="1" applyBorder="1" applyAlignment="1">
      <alignment horizontal="center"/>
    </xf>
    <xf numFmtId="0" fontId="19" fillId="4" borderId="0" xfId="0" applyFont="1" applyFill="1" applyBorder="1" applyAlignment="1">
      <alignment horizontal="left"/>
    </xf>
    <xf numFmtId="0" fontId="4" fillId="4" borderId="0" xfId="0" applyFont="1" applyFill="1" applyBorder="1" applyAlignment="1">
      <alignment horizontal="center" shrinkToFit="1"/>
    </xf>
    <xf numFmtId="0" fontId="20" fillId="0" borderId="0" xfId="0" applyFont="1"/>
    <xf numFmtId="0" fontId="14" fillId="3" borderId="0" xfId="0" applyFont="1" applyFill="1" applyBorder="1" applyAlignment="1" applyProtection="1">
      <alignment horizontal="left"/>
      <protection locked="0"/>
    </xf>
    <xf numFmtId="169" fontId="0" fillId="3" borderId="0" xfId="0" applyNumberFormat="1" applyFill="1"/>
    <xf numFmtId="0" fontId="23" fillId="3" borderId="0" xfId="4" applyNumberFormat="1" applyFont="1" applyFill="1" applyBorder="1" applyAlignment="1" applyProtection="1">
      <alignment horizontal="center"/>
    </xf>
    <xf numFmtId="0" fontId="0" fillId="3" borderId="0" xfId="0" applyFill="1" applyBorder="1" applyAlignment="1">
      <alignment vertical="center"/>
    </xf>
    <xf numFmtId="0" fontId="20" fillId="3" borderId="0" xfId="0" applyFont="1" applyFill="1" applyAlignment="1"/>
    <xf numFmtId="0" fontId="26" fillId="3" borderId="0" xfId="0" applyFont="1" applyFill="1" applyBorder="1" applyAlignment="1">
      <alignment horizontal="center" vertical="center"/>
    </xf>
    <xf numFmtId="0" fontId="34" fillId="3" borderId="0" xfId="0" applyFont="1" applyFill="1" applyBorder="1" applyAlignment="1">
      <alignment horizontal="center" vertical="center"/>
    </xf>
    <xf numFmtId="0" fontId="0" fillId="3" borderId="0" xfId="0" applyFont="1" applyFill="1"/>
    <xf numFmtId="0" fontId="0" fillId="0" borderId="0" xfId="0" applyFont="1"/>
    <xf numFmtId="0" fontId="26" fillId="3" borderId="0" xfId="0" applyNumberFormat="1" applyFont="1" applyFill="1" applyBorder="1" applyAlignment="1">
      <alignment horizontal="center" vertical="center"/>
    </xf>
    <xf numFmtId="0" fontId="34" fillId="3" borderId="12" xfId="0" applyNumberFormat="1" applyFont="1" applyFill="1" applyBorder="1" applyAlignment="1">
      <alignment horizontal="center" vertical="center"/>
    </xf>
    <xf numFmtId="16" fontId="8" fillId="3" borderId="0" xfId="0" applyNumberFormat="1" applyFont="1" applyFill="1" applyBorder="1" applyAlignment="1">
      <alignment horizontal="center" vertical="center"/>
    </xf>
    <xf numFmtId="0" fontId="4" fillId="3" borderId="0" xfId="0" applyFont="1" applyFill="1"/>
    <xf numFmtId="0" fontId="0" fillId="0" borderId="0" xfId="0" applyProtection="1"/>
    <xf numFmtId="0" fontId="0" fillId="3" borderId="0" xfId="0" applyFill="1" applyProtection="1">
      <protection locked="0"/>
    </xf>
    <xf numFmtId="0" fontId="22" fillId="3" borderId="0" xfId="0" applyFont="1" applyFill="1" applyAlignment="1" applyProtection="1">
      <alignment horizontal="center"/>
      <protection locked="0"/>
    </xf>
    <xf numFmtId="0" fontId="22" fillId="3" borderId="0" xfId="0" applyFont="1" applyFill="1" applyAlignment="1" applyProtection="1">
      <alignment horizontal="left"/>
      <protection locked="0"/>
    </xf>
    <xf numFmtId="0" fontId="0" fillId="0" borderId="0" xfId="0" applyProtection="1">
      <protection locked="0"/>
    </xf>
    <xf numFmtId="0" fontId="0" fillId="0" borderId="0" xfId="0" applyBorder="1"/>
    <xf numFmtId="0" fontId="0" fillId="6" borderId="0" xfId="0" applyFill="1"/>
    <xf numFmtId="0" fontId="0" fillId="6" borderId="6" xfId="0" applyFill="1" applyBorder="1"/>
    <xf numFmtId="0" fontId="0" fillId="6" borderId="16" xfId="0" applyFill="1" applyBorder="1"/>
    <xf numFmtId="174" fontId="0" fillId="6" borderId="16" xfId="0" applyNumberFormat="1" applyFill="1" applyBorder="1" applyAlignment="1">
      <alignment horizontal="center"/>
    </xf>
    <xf numFmtId="0" fontId="11" fillId="6" borderId="16" xfId="0" applyFont="1" applyFill="1" applyBorder="1" applyAlignment="1">
      <alignment horizontal="center"/>
    </xf>
    <xf numFmtId="174" fontId="11" fillId="6" borderId="16" xfId="0" applyNumberFormat="1" applyFont="1" applyFill="1" applyBorder="1" applyAlignment="1">
      <alignment horizontal="center"/>
    </xf>
    <xf numFmtId="174" fontId="54" fillId="6" borderId="16" xfId="0" applyNumberFormat="1" applyFont="1" applyFill="1" applyBorder="1" applyAlignment="1">
      <alignment horizontal="right"/>
    </xf>
    <xf numFmtId="174" fontId="54" fillId="6" borderId="16" xfId="0" applyNumberFormat="1" applyFont="1" applyFill="1" applyBorder="1" applyAlignment="1" applyProtection="1">
      <alignment horizontal="right"/>
      <protection locked="0"/>
    </xf>
    <xf numFmtId="0" fontId="0" fillId="6" borderId="16" xfId="0" applyFill="1" applyBorder="1" applyProtection="1">
      <protection locked="0"/>
    </xf>
    <xf numFmtId="174" fontId="55" fillId="6" borderId="16" xfId="0" applyNumberFormat="1" applyFont="1" applyFill="1" applyBorder="1" applyAlignment="1" applyProtection="1">
      <alignment horizontal="center"/>
      <protection locked="0"/>
    </xf>
    <xf numFmtId="174" fontId="0" fillId="6" borderId="16" xfId="0" applyNumberFormat="1" applyFill="1" applyBorder="1" applyAlignment="1" applyProtection="1">
      <alignment horizontal="center"/>
      <protection locked="0"/>
    </xf>
    <xf numFmtId="174" fontId="55" fillId="6" borderId="16" xfId="0" applyNumberFormat="1" applyFont="1" applyFill="1" applyBorder="1" applyAlignment="1">
      <alignment horizontal="center"/>
    </xf>
    <xf numFmtId="174" fontId="54" fillId="6" borderId="16" xfId="0" applyNumberFormat="1" applyFont="1" applyFill="1" applyBorder="1" applyAlignment="1" applyProtection="1">
      <alignment horizontal="right"/>
    </xf>
    <xf numFmtId="0" fontId="0" fillId="6" borderId="16" xfId="0" applyFont="1" applyFill="1" applyBorder="1" applyAlignment="1">
      <alignment horizontal="left"/>
    </xf>
    <xf numFmtId="174" fontId="11" fillId="6" borderId="16" xfId="0" applyNumberFormat="1" applyFont="1" applyFill="1" applyBorder="1" applyAlignment="1" applyProtection="1">
      <alignment horizontal="center"/>
      <protection locked="0"/>
    </xf>
    <xf numFmtId="174" fontId="11" fillId="6" borderId="6" xfId="0" applyNumberFormat="1" applyFont="1" applyFill="1" applyBorder="1" applyAlignment="1">
      <alignment horizontal="center"/>
    </xf>
    <xf numFmtId="0" fontId="8" fillId="6" borderId="15" xfId="0" applyFont="1" applyFill="1" applyBorder="1" applyAlignment="1">
      <alignment horizontal="center"/>
    </xf>
    <xf numFmtId="174" fontId="0" fillId="6" borderId="15" xfId="0" applyNumberFormat="1" applyFill="1" applyBorder="1" applyAlignment="1" applyProtection="1">
      <alignment horizontal="center"/>
      <protection locked="0"/>
    </xf>
    <xf numFmtId="174" fontId="11" fillId="6" borderId="2" xfId="0" applyNumberFormat="1" applyFont="1" applyFill="1" applyBorder="1" applyAlignment="1">
      <alignment horizontal="center"/>
    </xf>
    <xf numFmtId="174" fontId="0" fillId="6" borderId="0" xfId="0" applyNumberFormat="1" applyFill="1"/>
    <xf numFmtId="174" fontId="0" fillId="6" borderId="1" xfId="0" applyNumberFormat="1" applyFill="1" applyBorder="1"/>
    <xf numFmtId="0" fontId="11" fillId="6" borderId="0" xfId="0" applyFont="1" applyFill="1"/>
    <xf numFmtId="0" fontId="59" fillId="3" borderId="3" xfId="0" applyFont="1" applyFill="1" applyBorder="1" applyAlignment="1">
      <alignment horizontal="left"/>
    </xf>
    <xf numFmtId="0" fontId="0" fillId="3" borderId="13" xfId="0" applyFill="1" applyBorder="1"/>
    <xf numFmtId="0" fontId="0" fillId="3" borderId="4" xfId="0" applyFill="1" applyBorder="1"/>
    <xf numFmtId="0" fontId="60" fillId="3" borderId="0" xfId="0" applyFont="1" applyFill="1"/>
    <xf numFmtId="0" fontId="61" fillId="3" borderId="0" xfId="0" applyFont="1" applyFill="1" applyAlignment="1">
      <alignment vertical="top" wrapText="1"/>
    </xf>
    <xf numFmtId="0" fontId="62" fillId="3" borderId="0" xfId="0" applyFont="1" applyFill="1" applyAlignment="1">
      <alignment vertical="top" wrapText="1"/>
    </xf>
    <xf numFmtId="0" fontId="63" fillId="3" borderId="0" xfId="0" applyFont="1" applyFill="1" applyAlignment="1">
      <alignment horizontal="left" indent="2"/>
    </xf>
    <xf numFmtId="0" fontId="62" fillId="3" borderId="0" xfId="0" applyFont="1" applyFill="1" applyAlignment="1">
      <alignment horizontal="left" indent="2"/>
    </xf>
    <xf numFmtId="0" fontId="64" fillId="3" borderId="0" xfId="0" applyFont="1" applyFill="1"/>
    <xf numFmtId="0" fontId="65" fillId="3" borderId="0" xfId="0" applyFont="1" applyFill="1"/>
    <xf numFmtId="0" fontId="66" fillId="3" borderId="3" xfId="0" applyFont="1" applyFill="1" applyBorder="1" applyAlignment="1">
      <alignment horizontal="left" indent="2"/>
    </xf>
    <xf numFmtId="0" fontId="66" fillId="3" borderId="13" xfId="0" applyFont="1" applyFill="1" applyBorder="1" applyAlignment="1">
      <alignment horizontal="left" indent="2"/>
    </xf>
    <xf numFmtId="0" fontId="60" fillId="3" borderId="0" xfId="0" applyFont="1" applyFill="1" applyBorder="1"/>
    <xf numFmtId="0" fontId="60" fillId="3" borderId="12" xfId="0" applyFont="1" applyFill="1" applyBorder="1"/>
    <xf numFmtId="0" fontId="60" fillId="0" borderId="0" xfId="0" applyFont="1"/>
    <xf numFmtId="0" fontId="67" fillId="3" borderId="0" xfId="0" applyFont="1" applyFill="1"/>
    <xf numFmtId="0" fontId="65" fillId="3" borderId="0" xfId="0" applyFont="1" applyFill="1" applyAlignment="1">
      <alignment horizontal="left"/>
    </xf>
    <xf numFmtId="0" fontId="68" fillId="3" borderId="0" xfId="0" applyFont="1" applyFill="1"/>
    <xf numFmtId="0" fontId="69" fillId="3" borderId="0" xfId="0" applyFont="1" applyFill="1" applyBorder="1" applyAlignment="1">
      <alignment horizontal="center" vertical="top" wrapText="1"/>
    </xf>
    <xf numFmtId="0" fontId="50" fillId="3" borderId="0" xfId="0" applyFont="1" applyFill="1" applyBorder="1" applyAlignment="1">
      <alignment vertical="top"/>
    </xf>
    <xf numFmtId="0" fontId="4" fillId="3" borderId="0" xfId="0" applyFont="1" applyFill="1" applyBorder="1" applyAlignment="1">
      <alignment horizontal="center" vertical="center"/>
    </xf>
    <xf numFmtId="0" fontId="60" fillId="3" borderId="11" xfId="0" applyFont="1" applyFill="1" applyBorder="1"/>
    <xf numFmtId="0" fontId="60" fillId="3" borderId="14" xfId="0" applyFont="1" applyFill="1" applyBorder="1"/>
    <xf numFmtId="16" fontId="72" fillId="3" borderId="0" xfId="0" applyNumberFormat="1" applyFont="1" applyFill="1" applyBorder="1" applyAlignment="1">
      <alignment horizontal="center" vertical="center"/>
    </xf>
    <xf numFmtId="0" fontId="71" fillId="3" borderId="0" xfId="0" applyNumberFormat="1" applyFont="1" applyFill="1" applyBorder="1" applyAlignment="1" applyProtection="1">
      <alignment horizontal="center"/>
    </xf>
    <xf numFmtId="0" fontId="78" fillId="3" borderId="0" xfId="4" applyNumberFormat="1" applyFont="1" applyFill="1" applyBorder="1" applyAlignment="1" applyProtection="1">
      <alignment horizontal="center"/>
    </xf>
    <xf numFmtId="0" fontId="71" fillId="8" borderId="0" xfId="0" applyFont="1" applyFill="1" applyBorder="1" applyProtection="1"/>
    <xf numFmtId="0" fontId="22" fillId="4" borderId="0" xfId="0" applyFont="1" applyFill="1" applyBorder="1"/>
    <xf numFmtId="0" fontId="27" fillId="10" borderId="0" xfId="0" applyFont="1" applyFill="1" applyBorder="1"/>
    <xf numFmtId="0" fontId="0" fillId="10" borderId="0" xfId="0" applyFill="1"/>
    <xf numFmtId="0" fontId="4" fillId="3" borderId="0" xfId="0" applyFont="1" applyFill="1" applyAlignment="1">
      <alignment horizontal="left"/>
    </xf>
    <xf numFmtId="0" fontId="81" fillId="3" borderId="0" xfId="0" applyFont="1" applyFill="1" applyBorder="1" applyAlignment="1">
      <alignment horizontal="centerContinuous"/>
    </xf>
    <xf numFmtId="0" fontId="80" fillId="3" borderId="0" xfId="0" applyFont="1" applyFill="1" applyBorder="1" applyAlignment="1">
      <alignment horizontal="centerContinuous"/>
    </xf>
    <xf numFmtId="0" fontId="0" fillId="3" borderId="19" xfId="0" applyFill="1" applyBorder="1"/>
    <xf numFmtId="0" fontId="0" fillId="3" borderId="0" xfId="0" quotePrefix="1" applyFill="1"/>
    <xf numFmtId="0" fontId="20" fillId="9" borderId="0" xfId="0" applyFont="1" applyFill="1"/>
    <xf numFmtId="0" fontId="82" fillId="3" borderId="0" xfId="0" applyFont="1" applyFill="1" applyBorder="1" applyAlignment="1">
      <alignment horizontal="centerContinuous"/>
    </xf>
    <xf numFmtId="0" fontId="84" fillId="3" borderId="0" xfId="0" applyFont="1" applyFill="1"/>
    <xf numFmtId="176" fontId="85" fillId="3" borderId="0" xfId="0" applyNumberFormat="1" applyFont="1" applyFill="1" applyAlignment="1">
      <alignment horizontal="right" shrinkToFit="1"/>
    </xf>
    <xf numFmtId="0" fontId="87" fillId="3" borderId="0" xfId="0" applyFont="1" applyFill="1"/>
    <xf numFmtId="0" fontId="6" fillId="3" borderId="0" xfId="0" applyFont="1" applyFill="1" applyAlignment="1">
      <alignment horizontal="center"/>
    </xf>
    <xf numFmtId="0" fontId="83" fillId="3" borderId="0" xfId="0" applyFont="1" applyFill="1" applyAlignment="1">
      <alignment horizontal="left"/>
    </xf>
    <xf numFmtId="0" fontId="6" fillId="3" borderId="0" xfId="0" quotePrefix="1" applyFont="1" applyFill="1"/>
    <xf numFmtId="0" fontId="0" fillId="3" borderId="17" xfId="0" applyFill="1" applyBorder="1"/>
    <xf numFmtId="0" fontId="12" fillId="3" borderId="0" xfId="0" applyFont="1" applyFill="1" applyBorder="1" applyProtection="1">
      <protection locked="0"/>
    </xf>
    <xf numFmtId="0" fontId="39" fillId="3" borderId="0" xfId="0" applyFont="1" applyFill="1" applyBorder="1" applyProtection="1">
      <protection locked="0"/>
    </xf>
    <xf numFmtId="0" fontId="0" fillId="3" borderId="0" xfId="0" applyFill="1" applyBorder="1" applyProtection="1">
      <protection locked="0"/>
    </xf>
    <xf numFmtId="0" fontId="0" fillId="9" borderId="0" xfId="0" applyFill="1"/>
    <xf numFmtId="0" fontId="4" fillId="3" borderId="0" xfId="0" quotePrefix="1" applyFont="1" applyFill="1"/>
    <xf numFmtId="0" fontId="0" fillId="13" borderId="28" xfId="0" applyFill="1" applyBorder="1"/>
    <xf numFmtId="6" fontId="0" fillId="13" borderId="28" xfId="0" applyNumberFormat="1" applyFill="1" applyBorder="1" applyAlignment="1">
      <alignment horizontal="center"/>
    </xf>
    <xf numFmtId="0" fontId="0" fillId="14" borderId="28" xfId="0" applyFill="1" applyBorder="1"/>
    <xf numFmtId="0" fontId="0" fillId="13" borderId="28" xfId="0" applyFill="1" applyBorder="1" applyAlignment="1">
      <alignment horizontal="center"/>
    </xf>
    <xf numFmtId="0" fontId="25" fillId="13" borderId="28" xfId="0" applyFont="1" applyFill="1" applyBorder="1" applyAlignment="1">
      <alignment horizontal="center"/>
    </xf>
    <xf numFmtId="6" fontId="25" fillId="13" borderId="28" xfId="0" applyNumberFormat="1" applyFont="1" applyFill="1" applyBorder="1" applyAlignment="1">
      <alignment horizontal="center"/>
    </xf>
    <xf numFmtId="0" fontId="25" fillId="14" borderId="28" xfId="0" applyFont="1" applyFill="1" applyBorder="1" applyAlignment="1">
      <alignment horizontal="center"/>
    </xf>
    <xf numFmtId="6" fontId="0" fillId="3" borderId="0" xfId="0" applyNumberFormat="1" applyFill="1" applyAlignment="1">
      <alignment horizontal="center"/>
    </xf>
    <xf numFmtId="0" fontId="0" fillId="9" borderId="0" xfId="0" applyFill="1" applyAlignment="1"/>
    <xf numFmtId="0" fontId="0" fillId="9" borderId="0" xfId="0" applyFill="1" applyAlignment="1">
      <alignment horizontal="center"/>
    </xf>
    <xf numFmtId="0" fontId="0" fillId="9" borderId="0" xfId="0" applyFill="1" applyAlignment="1" applyProtection="1">
      <alignment horizontal="center"/>
    </xf>
    <xf numFmtId="0" fontId="0" fillId="9" borderId="0" xfId="0" applyFill="1" applyProtection="1"/>
    <xf numFmtId="1" fontId="4" fillId="15" borderId="23" xfId="0" applyNumberFormat="1" applyFont="1" applyFill="1" applyBorder="1" applyAlignment="1">
      <alignment horizontal="center"/>
    </xf>
    <xf numFmtId="1" fontId="4" fillId="14" borderId="23" xfId="0" applyNumberFormat="1" applyFont="1" applyFill="1" applyBorder="1" applyAlignment="1">
      <alignment horizontal="center"/>
    </xf>
    <xf numFmtId="1" fontId="4" fillId="14" borderId="28" xfId="0" applyNumberFormat="1" applyFont="1" applyFill="1" applyBorder="1" applyAlignment="1">
      <alignment horizontal="center"/>
    </xf>
    <xf numFmtId="1" fontId="7" fillId="0" borderId="28" xfId="0" applyNumberFormat="1" applyFont="1" applyBorder="1" applyAlignment="1" applyProtection="1">
      <alignment horizontal="left"/>
    </xf>
    <xf numFmtId="9" fontId="7" fillId="11" borderId="25" xfId="0" applyNumberFormat="1" applyFont="1" applyFill="1" applyBorder="1" applyAlignment="1" applyProtection="1">
      <alignment horizontal="center"/>
    </xf>
    <xf numFmtId="1" fontId="38" fillId="0" borderId="28" xfId="0" applyNumberFormat="1" applyFont="1" applyBorder="1" applyAlignment="1" applyProtection="1">
      <alignment horizontal="left"/>
    </xf>
    <xf numFmtId="9" fontId="38" fillId="11" borderId="25" xfId="0" applyNumberFormat="1" applyFont="1" applyFill="1" applyBorder="1" applyAlignment="1" applyProtection="1">
      <alignment horizontal="center"/>
    </xf>
    <xf numFmtId="1" fontId="7" fillId="0" borderId="28" xfId="0" applyNumberFormat="1" applyFont="1" applyBorder="1" applyProtection="1"/>
    <xf numFmtId="1" fontId="38" fillId="0" borderId="28" xfId="0" applyNumberFormat="1" applyFont="1" applyBorder="1" applyProtection="1"/>
    <xf numFmtId="1" fontId="7" fillId="15" borderId="28" xfId="0" applyNumberFormat="1" applyFont="1" applyFill="1" applyBorder="1" applyAlignment="1" applyProtection="1">
      <alignment horizontal="center"/>
    </xf>
    <xf numFmtId="1" fontId="76" fillId="9" borderId="0" xfId="0" applyNumberFormat="1" applyFont="1" applyFill="1" applyBorder="1" applyAlignment="1" applyProtection="1">
      <alignment horizontal="left"/>
    </xf>
    <xf numFmtId="1" fontId="38" fillId="15" borderId="28" xfId="0" applyNumberFormat="1" applyFont="1" applyFill="1" applyBorder="1" applyAlignment="1" applyProtection="1">
      <alignment horizontal="center"/>
    </xf>
    <xf numFmtId="1" fontId="72" fillId="9" borderId="0" xfId="0" applyNumberFormat="1" applyFont="1" applyFill="1" applyBorder="1" applyAlignment="1">
      <alignment horizontal="center"/>
    </xf>
    <xf numFmtId="0" fontId="3" fillId="9" borderId="0" xfId="0" applyFont="1" applyFill="1" applyBorder="1"/>
    <xf numFmtId="174" fontId="11" fillId="6" borderId="16" xfId="0" applyNumberFormat="1" applyFont="1" applyFill="1" applyBorder="1" applyAlignment="1" applyProtection="1">
      <alignment horizontal="center"/>
    </xf>
    <xf numFmtId="0" fontId="18" fillId="4" borderId="0" xfId="0" applyFont="1" applyFill="1" applyBorder="1" applyAlignment="1">
      <alignment horizontal="left"/>
    </xf>
    <xf numFmtId="0" fontId="0" fillId="16" borderId="0" xfId="0" applyFill="1" applyProtection="1">
      <protection locked="0"/>
    </xf>
    <xf numFmtId="0" fontId="40" fillId="16" borderId="0" xfId="0" applyFont="1" applyFill="1" applyProtection="1"/>
    <xf numFmtId="0" fontId="40" fillId="16" borderId="0" xfId="0" applyFont="1" applyFill="1" applyProtection="1">
      <protection locked="0"/>
    </xf>
    <xf numFmtId="0" fontId="20" fillId="9" borderId="18" xfId="6" applyFont="1" applyFill="1" applyBorder="1" applyAlignment="1" applyProtection="1">
      <alignment horizontal="centerContinuous" vertical="center" wrapText="1"/>
    </xf>
    <xf numFmtId="0" fontId="98" fillId="9" borderId="0" xfId="6" applyFont="1" applyFill="1" applyBorder="1" applyAlignment="1">
      <alignment horizontal="centerContinuous"/>
    </xf>
    <xf numFmtId="0" fontId="98" fillId="9" borderId="19" xfId="6" applyFont="1" applyFill="1" applyBorder="1" applyAlignment="1">
      <alignment horizontal="centerContinuous"/>
    </xf>
    <xf numFmtId="0" fontId="3" fillId="0" borderId="0" xfId="6"/>
    <xf numFmtId="0" fontId="20" fillId="9" borderId="0" xfId="6" applyFont="1" applyFill="1" applyBorder="1" applyAlignment="1" applyProtection="1">
      <alignment horizontal="center" vertical="center" wrapText="1"/>
    </xf>
    <xf numFmtId="0" fontId="98" fillId="0" borderId="0" xfId="6" applyFont="1" applyAlignment="1">
      <alignment horizontal="center"/>
    </xf>
    <xf numFmtId="0" fontId="98" fillId="0" borderId="0" xfId="6" applyFont="1"/>
    <xf numFmtId="0" fontId="99" fillId="9" borderId="0" xfId="6" applyFont="1" applyFill="1" applyBorder="1" applyAlignment="1">
      <alignment horizontal="centerContinuous"/>
    </xf>
    <xf numFmtId="0" fontId="99" fillId="9" borderId="19" xfId="6" applyFont="1" applyFill="1" applyBorder="1" applyAlignment="1">
      <alignment horizontal="centerContinuous"/>
    </xf>
    <xf numFmtId="0" fontId="101" fillId="9" borderId="18" xfId="6" applyFont="1" applyFill="1" applyBorder="1" applyAlignment="1">
      <alignment horizontal="centerContinuous" shrinkToFit="1"/>
    </xf>
    <xf numFmtId="0" fontId="3" fillId="9" borderId="0" xfId="6" applyFill="1"/>
    <xf numFmtId="0" fontId="101" fillId="9" borderId="18" xfId="6" applyFont="1" applyFill="1" applyBorder="1" applyAlignment="1">
      <alignment horizontal="centerContinuous" vertical="top" shrinkToFit="1"/>
    </xf>
    <xf numFmtId="0" fontId="99" fillId="9" borderId="0" xfId="6" applyFont="1" applyFill="1" applyBorder="1" applyAlignment="1">
      <alignment horizontal="centerContinuous" vertical="top"/>
    </xf>
    <xf numFmtId="0" fontId="99" fillId="9" borderId="19" xfId="6" applyFont="1" applyFill="1" applyBorder="1" applyAlignment="1">
      <alignment horizontal="centerContinuous" vertical="top"/>
    </xf>
    <xf numFmtId="0" fontId="3" fillId="9" borderId="0" xfId="6" applyFill="1" applyAlignment="1">
      <alignment vertical="top"/>
    </xf>
    <xf numFmtId="0" fontId="3" fillId="0" borderId="0" xfId="6" applyAlignment="1">
      <alignment vertical="top"/>
    </xf>
    <xf numFmtId="0" fontId="95" fillId="17" borderId="18" xfId="6" applyFont="1" applyFill="1" applyBorder="1" applyAlignment="1" applyProtection="1">
      <alignment horizontal="center" shrinkToFit="1"/>
      <protection hidden="1"/>
    </xf>
    <xf numFmtId="1" fontId="95" fillId="17" borderId="0" xfId="6" applyNumberFormat="1" applyFont="1" applyFill="1" applyBorder="1" applyAlignment="1">
      <alignment horizontal="center"/>
    </xf>
    <xf numFmtId="9" fontId="95" fillId="17" borderId="19" xfId="7" applyNumberFormat="1" applyFont="1" applyFill="1" applyBorder="1" applyAlignment="1">
      <alignment horizontal="center"/>
    </xf>
    <xf numFmtId="0" fontId="103" fillId="17" borderId="18" xfId="6" applyFont="1" applyFill="1" applyBorder="1" applyAlignment="1" applyProtection="1">
      <alignment horizontal="center"/>
      <protection hidden="1"/>
    </xf>
    <xf numFmtId="1" fontId="103" fillId="17" borderId="0" xfId="6" applyNumberFormat="1" applyFont="1" applyFill="1" applyBorder="1" applyAlignment="1">
      <alignment horizontal="center"/>
    </xf>
    <xf numFmtId="9" fontId="103" fillId="17" borderId="19" xfId="7" applyNumberFormat="1" applyFont="1" applyFill="1" applyBorder="1" applyAlignment="1">
      <alignment horizontal="center"/>
    </xf>
    <xf numFmtId="0" fontId="3" fillId="9" borderId="0" xfId="6" applyFill="1" applyAlignment="1">
      <alignment horizontal="center"/>
    </xf>
    <xf numFmtId="0" fontId="88" fillId="9" borderId="19" xfId="6" applyFont="1" applyFill="1" applyBorder="1" applyAlignment="1">
      <alignment horizontal="center"/>
    </xf>
    <xf numFmtId="0" fontId="95" fillId="9" borderId="18" xfId="6" applyFont="1" applyFill="1" applyBorder="1" applyAlignment="1">
      <alignment horizontal="center" shrinkToFit="1"/>
    </xf>
    <xf numFmtId="0" fontId="95" fillId="9" borderId="0" xfId="6" applyFont="1" applyFill="1" applyBorder="1" applyAlignment="1">
      <alignment horizontal="centerContinuous"/>
    </xf>
    <xf numFmtId="0" fontId="95" fillId="9" borderId="19" xfId="6" applyFont="1" applyFill="1" applyBorder="1" applyAlignment="1">
      <alignment horizontal="center"/>
    </xf>
    <xf numFmtId="0" fontId="95" fillId="9" borderId="0" xfId="6" applyFont="1" applyFill="1"/>
    <xf numFmtId="0" fontId="95" fillId="0" borderId="0" xfId="6" applyFont="1"/>
    <xf numFmtId="0" fontId="95" fillId="18" borderId="28" xfId="6" applyFont="1" applyFill="1" applyBorder="1" applyAlignment="1">
      <alignment horizontal="center"/>
    </xf>
    <xf numFmtId="1" fontId="95" fillId="18" borderId="23" xfId="6" applyNumberFormat="1" applyFont="1" applyFill="1" applyBorder="1" applyAlignment="1">
      <alignment horizontal="center"/>
    </xf>
    <xf numFmtId="1" fontId="95" fillId="18" borderId="28" xfId="6" applyNumberFormat="1" applyFont="1" applyFill="1" applyBorder="1" applyAlignment="1">
      <alignment horizontal="center"/>
    </xf>
    <xf numFmtId="0" fontId="96" fillId="9" borderId="0" xfId="6" applyFont="1" applyFill="1" applyAlignment="1">
      <alignment horizontal="left"/>
    </xf>
    <xf numFmtId="1" fontId="25" fillId="9" borderId="0" xfId="6" applyNumberFormat="1" applyFont="1" applyFill="1" applyBorder="1" applyAlignment="1" applyProtection="1">
      <alignment horizontal="right" vertical="center"/>
    </xf>
    <xf numFmtId="0" fontId="104" fillId="9" borderId="18" xfId="6" applyFont="1" applyFill="1" applyBorder="1" applyAlignment="1">
      <alignment horizontal="left"/>
    </xf>
    <xf numFmtId="0" fontId="105" fillId="0" borderId="0" xfId="6" applyFont="1" applyBorder="1" applyAlignment="1">
      <alignment horizontal="centerContinuous"/>
    </xf>
    <xf numFmtId="0" fontId="105" fillId="0" borderId="19" xfId="6" applyFont="1" applyBorder="1" applyAlignment="1">
      <alignment horizontal="centerContinuous"/>
    </xf>
    <xf numFmtId="1" fontId="106" fillId="9" borderId="0" xfId="6" applyNumberFormat="1" applyFont="1" applyFill="1" applyBorder="1" applyAlignment="1" applyProtection="1">
      <alignment horizontal="right" vertical="center"/>
    </xf>
    <xf numFmtId="0" fontId="105" fillId="0" borderId="0" xfId="6" applyFont="1"/>
    <xf numFmtId="0" fontId="3" fillId="9" borderId="18" xfId="6" applyFill="1" applyBorder="1"/>
    <xf numFmtId="0" fontId="3" fillId="9" borderId="0" xfId="6" applyFill="1" applyBorder="1" applyAlignment="1">
      <alignment horizontal="center"/>
    </xf>
    <xf numFmtId="0" fontId="3" fillId="9" borderId="19" xfId="6" applyFill="1" applyBorder="1"/>
    <xf numFmtId="0" fontId="25" fillId="9" borderId="0" xfId="6" applyFont="1" applyFill="1" applyBorder="1" applyAlignment="1" applyProtection="1">
      <alignment horizontal="right"/>
    </xf>
    <xf numFmtId="0" fontId="89" fillId="9" borderId="18" xfId="6" applyFont="1" applyFill="1" applyBorder="1" applyAlignment="1">
      <alignment horizontal="centerContinuous" shrinkToFit="1"/>
    </xf>
    <xf numFmtId="0" fontId="89" fillId="9" borderId="0" xfId="6" applyFont="1" applyFill="1" applyBorder="1" applyAlignment="1">
      <alignment horizontal="centerContinuous"/>
    </xf>
    <xf numFmtId="0" fontId="89" fillId="9" borderId="19" xfId="6" applyFont="1" applyFill="1" applyBorder="1" applyAlignment="1">
      <alignment horizontal="centerContinuous"/>
    </xf>
    <xf numFmtId="1" fontId="107" fillId="9" borderId="0" xfId="6" applyNumberFormat="1" applyFont="1" applyFill="1" applyBorder="1" applyAlignment="1" applyProtection="1">
      <alignment horizontal="right" vertical="center"/>
    </xf>
    <xf numFmtId="0" fontId="89" fillId="0" borderId="0" xfId="6" applyFont="1"/>
    <xf numFmtId="1" fontId="44" fillId="9" borderId="0" xfId="6" applyNumberFormat="1" applyFont="1" applyFill="1" applyBorder="1" applyAlignment="1" applyProtection="1">
      <alignment horizontal="right" vertical="center"/>
    </xf>
    <xf numFmtId="0" fontId="7" fillId="9" borderId="18" xfId="6" applyFont="1" applyFill="1" applyBorder="1" applyAlignment="1">
      <alignment horizontal="centerContinuous" shrinkToFit="1"/>
    </xf>
    <xf numFmtId="0" fontId="7" fillId="9" borderId="0" xfId="6" applyFont="1" applyFill="1" applyBorder="1" applyAlignment="1">
      <alignment horizontal="centerContinuous"/>
    </xf>
    <xf numFmtId="0" fontId="7" fillId="9" borderId="19" xfId="6" applyFont="1" applyFill="1" applyBorder="1" applyAlignment="1">
      <alignment horizontal="centerContinuous"/>
    </xf>
    <xf numFmtId="1" fontId="108" fillId="9" borderId="0" xfId="6" applyNumberFormat="1" applyFont="1" applyFill="1" applyBorder="1" applyAlignment="1" applyProtection="1">
      <alignment horizontal="right" vertical="center"/>
    </xf>
    <xf numFmtId="0" fontId="7" fillId="0" borderId="0" xfId="6" applyFont="1"/>
    <xf numFmtId="0" fontId="96" fillId="9" borderId="18" xfId="6" applyFont="1" applyFill="1" applyBorder="1"/>
    <xf numFmtId="0" fontId="44" fillId="9" borderId="0" xfId="6" applyFont="1" applyFill="1" applyBorder="1" applyAlignment="1" applyProtection="1">
      <alignment horizontal="right"/>
    </xf>
    <xf numFmtId="0" fontId="3" fillId="9" borderId="0" xfId="6" applyFill="1" applyBorder="1" applyAlignment="1">
      <alignment horizontal="centerContinuous"/>
    </xf>
    <xf numFmtId="0" fontId="3" fillId="9" borderId="19" xfId="6" applyFill="1" applyBorder="1" applyAlignment="1">
      <alignment horizontal="centerContinuous"/>
    </xf>
    <xf numFmtId="0" fontId="95" fillId="9" borderId="18" xfId="6" applyFont="1" applyFill="1" applyBorder="1" applyAlignment="1">
      <alignment horizontal="centerContinuous" shrinkToFit="1"/>
    </xf>
    <xf numFmtId="0" fontId="95" fillId="9" borderId="19" xfId="6" applyFont="1" applyFill="1" applyBorder="1" applyAlignment="1">
      <alignment horizontal="centerContinuous"/>
    </xf>
    <xf numFmtId="0" fontId="109" fillId="9" borderId="18" xfId="6" applyFont="1" applyFill="1" applyBorder="1" applyAlignment="1">
      <alignment horizontal="centerContinuous" shrinkToFit="1"/>
    </xf>
    <xf numFmtId="0" fontId="109" fillId="9" borderId="0" xfId="6" applyFont="1" applyFill="1" applyBorder="1" applyAlignment="1">
      <alignment horizontal="centerContinuous"/>
    </xf>
    <xf numFmtId="0" fontId="109" fillId="9" borderId="19" xfId="6" applyFont="1" applyFill="1" applyBorder="1" applyAlignment="1">
      <alignment horizontal="centerContinuous"/>
    </xf>
    <xf numFmtId="0" fontId="89" fillId="9" borderId="0" xfId="6" applyFont="1" applyFill="1"/>
    <xf numFmtId="0" fontId="93" fillId="9" borderId="18" xfId="6" applyFont="1" applyFill="1" applyBorder="1" applyAlignment="1">
      <alignment horizontal="left" shrinkToFit="1"/>
    </xf>
    <xf numFmtId="0" fontId="91" fillId="9" borderId="0" xfId="6" applyFont="1" applyFill="1" applyBorder="1" applyAlignment="1">
      <alignment horizontal="centerContinuous"/>
    </xf>
    <xf numFmtId="0" fontId="91" fillId="9" borderId="19" xfId="6" applyFont="1" applyFill="1" applyBorder="1" applyAlignment="1">
      <alignment horizontal="centerContinuous"/>
    </xf>
    <xf numFmtId="0" fontId="93" fillId="9" borderId="18" xfId="6" applyFont="1" applyFill="1" applyBorder="1" applyAlignment="1">
      <alignment horizontal="left"/>
    </xf>
    <xf numFmtId="0" fontId="89" fillId="0" borderId="18" xfId="6" applyFont="1" applyBorder="1" applyAlignment="1">
      <alignment horizontal="center"/>
    </xf>
    <xf numFmtId="0" fontId="95" fillId="0" borderId="0" xfId="6" applyFont="1" applyBorder="1" applyAlignment="1">
      <alignment horizontal="center"/>
    </xf>
    <xf numFmtId="0" fontId="95" fillId="0" borderId="19" xfId="6" applyFont="1" applyBorder="1" applyAlignment="1">
      <alignment horizontal="center"/>
    </xf>
    <xf numFmtId="1" fontId="95" fillId="0" borderId="46" xfId="6" applyNumberFormat="1" applyFont="1" applyFill="1" applyBorder="1" applyAlignment="1">
      <alignment horizontal="center"/>
    </xf>
    <xf numFmtId="0" fontId="3" fillId="9" borderId="0" xfId="6" applyFill="1" applyBorder="1"/>
    <xf numFmtId="0" fontId="38" fillId="9" borderId="0" xfId="6" applyFont="1" applyFill="1" applyAlignment="1">
      <alignment horizontal="center" vertical="distributed" textRotation="90" wrapText="1"/>
    </xf>
    <xf numFmtId="1" fontId="38" fillId="9" borderId="23" xfId="6" applyNumberFormat="1" applyFont="1" applyFill="1" applyBorder="1" applyAlignment="1" applyProtection="1">
      <alignment horizontal="left"/>
    </xf>
    <xf numFmtId="1" fontId="20" fillId="9" borderId="28" xfId="6" applyNumberFormat="1" applyFont="1" applyFill="1" applyBorder="1" applyAlignment="1" applyProtection="1">
      <alignment horizontal="left"/>
    </xf>
    <xf numFmtId="1" fontId="7" fillId="11" borderId="28" xfId="6" applyNumberFormat="1" applyFont="1" applyFill="1" applyBorder="1" applyAlignment="1" applyProtection="1">
      <alignment horizontal="center"/>
    </xf>
    <xf numFmtId="1" fontId="76" fillId="9" borderId="0" xfId="6" applyNumberFormat="1" applyFont="1" applyFill="1" applyBorder="1" applyAlignment="1" applyProtection="1">
      <alignment horizontal="left"/>
    </xf>
    <xf numFmtId="0" fontId="3" fillId="9" borderId="0" xfId="6" applyFill="1" applyBorder="1" applyAlignment="1" applyProtection="1">
      <alignment horizontal="left"/>
      <protection hidden="1"/>
    </xf>
    <xf numFmtId="1" fontId="98" fillId="9" borderId="28" xfId="6" applyNumberFormat="1" applyFont="1" applyFill="1" applyBorder="1" applyAlignment="1" applyProtection="1">
      <alignment horizontal="left"/>
    </xf>
    <xf numFmtId="1" fontId="38" fillId="11" borderId="28" xfId="6" applyNumberFormat="1" applyFont="1" applyFill="1" applyBorder="1" applyAlignment="1" applyProtection="1">
      <alignment horizontal="center"/>
    </xf>
    <xf numFmtId="1" fontId="75" fillId="9" borderId="17" xfId="6" applyNumberFormat="1" applyFont="1" applyFill="1" applyBorder="1" applyAlignment="1" applyProtection="1">
      <alignment horizontal="left"/>
    </xf>
    <xf numFmtId="0" fontId="3" fillId="9" borderId="0" xfId="6" quotePrefix="1" applyFill="1" applyAlignment="1">
      <alignment horizontal="center"/>
    </xf>
    <xf numFmtId="1" fontId="110" fillId="9" borderId="17" xfId="6" applyNumberFormat="1" applyFont="1" applyFill="1" applyBorder="1" applyAlignment="1" applyProtection="1">
      <alignment horizontal="left"/>
    </xf>
    <xf numFmtId="0" fontId="98" fillId="9" borderId="0" xfId="6" applyFont="1" applyFill="1"/>
    <xf numFmtId="1" fontId="20" fillId="0" borderId="28" xfId="6" applyNumberFormat="1" applyFont="1" applyBorder="1" applyProtection="1"/>
    <xf numFmtId="173" fontId="43" fillId="9" borderId="0" xfId="7" applyNumberFormat="1" applyFont="1" applyFill="1" applyBorder="1" applyAlignment="1" applyProtection="1">
      <alignment horizontal="center"/>
    </xf>
    <xf numFmtId="1" fontId="98" fillId="0" borderId="28" xfId="6" applyNumberFormat="1" applyFont="1" applyBorder="1" applyProtection="1"/>
    <xf numFmtId="1" fontId="20" fillId="0" borderId="28" xfId="6" applyNumberFormat="1" applyFont="1" applyBorder="1" applyAlignment="1" applyProtection="1">
      <alignment horizontal="left"/>
    </xf>
    <xf numFmtId="9" fontId="7" fillId="15" borderId="25" xfId="6" applyNumberFormat="1" applyFont="1" applyFill="1" applyBorder="1" applyAlignment="1" applyProtection="1">
      <alignment horizontal="center"/>
    </xf>
    <xf numFmtId="1" fontId="98" fillId="0" borderId="28" xfId="6" applyNumberFormat="1" applyFont="1" applyBorder="1" applyAlignment="1" applyProtection="1">
      <alignment horizontal="left"/>
    </xf>
    <xf numFmtId="9" fontId="38" fillId="15" borderId="25" xfId="6" applyNumberFormat="1" applyFont="1" applyFill="1" applyBorder="1" applyAlignment="1" applyProtection="1">
      <alignment horizontal="center"/>
    </xf>
    <xf numFmtId="0" fontId="20" fillId="9" borderId="26" xfId="6" applyFont="1" applyFill="1" applyBorder="1" applyProtection="1">
      <protection hidden="1"/>
    </xf>
    <xf numFmtId="0" fontId="25" fillId="9" borderId="0" xfId="6" applyFont="1" applyFill="1" applyBorder="1" applyAlignment="1" applyProtection="1">
      <alignment horizontal="center"/>
      <protection hidden="1"/>
    </xf>
    <xf numFmtId="0" fontId="98" fillId="9" borderId="26" xfId="6" applyFont="1" applyFill="1" applyBorder="1" applyProtection="1">
      <protection hidden="1"/>
    </xf>
    <xf numFmtId="0" fontId="3" fillId="9" borderId="0" xfId="6" applyFill="1" applyBorder="1" applyAlignment="1" applyProtection="1">
      <alignment horizontal="center"/>
      <protection hidden="1"/>
    </xf>
    <xf numFmtId="0" fontId="98" fillId="9" borderId="27" xfId="6" applyFont="1" applyFill="1" applyBorder="1" applyProtection="1">
      <protection hidden="1"/>
    </xf>
    <xf numFmtId="0" fontId="3" fillId="0" borderId="0" xfId="6" applyAlignment="1">
      <alignment horizontal="center"/>
    </xf>
    <xf numFmtId="0" fontId="58" fillId="9" borderId="18" xfId="6" applyFont="1" applyFill="1" applyBorder="1" applyAlignment="1">
      <alignment horizontal="centerContinuous" vertical="top" shrinkToFit="1"/>
    </xf>
    <xf numFmtId="0" fontId="100" fillId="9" borderId="18" xfId="6" applyFont="1" applyFill="1" applyBorder="1" applyAlignment="1">
      <alignment horizontal="centerContinuous" vertical="top" shrinkToFit="1"/>
    </xf>
    <xf numFmtId="0" fontId="102" fillId="9" borderId="18" xfId="6" applyFont="1" applyFill="1" applyBorder="1" applyAlignment="1">
      <alignment horizontal="centerContinuous" vertical="top" shrinkToFit="1"/>
    </xf>
    <xf numFmtId="0" fontId="4" fillId="3" borderId="18" xfId="0" applyFont="1" applyFill="1" applyBorder="1"/>
    <xf numFmtId="0" fontId="25" fillId="3" borderId="0" xfId="0" applyFont="1" applyFill="1"/>
    <xf numFmtId="1" fontId="26" fillId="12" borderId="29" xfId="0" applyNumberFormat="1" applyFont="1" applyFill="1" applyBorder="1" applyAlignment="1" applyProtection="1">
      <alignment horizontal="center"/>
    </xf>
    <xf numFmtId="1" fontId="34" fillId="12" borderId="30" xfId="0" applyNumberFormat="1" applyFont="1" applyFill="1" applyBorder="1" applyAlignment="1" applyProtection="1">
      <alignment horizontal="center"/>
    </xf>
    <xf numFmtId="177" fontId="59" fillId="3" borderId="4" xfId="0" applyNumberFormat="1" applyFont="1" applyFill="1" applyBorder="1" applyAlignment="1">
      <alignment horizontal="left"/>
    </xf>
    <xf numFmtId="0" fontId="76" fillId="19" borderId="0" xfId="0" applyFont="1" applyFill="1" applyAlignment="1">
      <alignment wrapText="1"/>
    </xf>
    <xf numFmtId="0" fontId="0" fillId="0" borderId="0" xfId="0" applyAlignment="1">
      <alignment horizontal="center"/>
    </xf>
    <xf numFmtId="0" fontId="42" fillId="0" borderId="28" xfId="0" applyFont="1" applyBorder="1" applyAlignment="1" applyProtection="1"/>
    <xf numFmtId="0" fontId="4" fillId="4" borderId="52" xfId="0" applyFont="1" applyFill="1" applyBorder="1" applyAlignment="1" applyProtection="1">
      <alignment horizontal="center"/>
    </xf>
    <xf numFmtId="0" fontId="0" fillId="19" borderId="0" xfId="0" applyFill="1"/>
    <xf numFmtId="177" fontId="0" fillId="9" borderId="0" xfId="0" applyNumberFormat="1" applyFill="1" applyBorder="1" applyAlignment="1">
      <alignment horizontal="left"/>
    </xf>
    <xf numFmtId="171" fontId="7" fillId="15" borderId="28" xfId="0" applyNumberFormat="1" applyFont="1" applyFill="1" applyBorder="1" applyAlignment="1" applyProtection="1">
      <alignment horizontal="center"/>
    </xf>
    <xf numFmtId="171" fontId="38" fillId="15" borderId="28" xfId="0" applyNumberFormat="1" applyFont="1" applyFill="1" applyBorder="1" applyAlignment="1" applyProtection="1">
      <alignment horizontal="center"/>
    </xf>
    <xf numFmtId="171" fontId="38" fillId="15" borderId="22" xfId="0" applyNumberFormat="1" applyFont="1" applyFill="1" applyBorder="1" applyAlignment="1" applyProtection="1">
      <alignment horizontal="center"/>
    </xf>
    <xf numFmtId="0" fontId="7" fillId="9" borderId="50" xfId="0" applyFont="1" applyFill="1" applyBorder="1" applyAlignment="1" applyProtection="1">
      <alignment horizontal="center" shrinkToFit="1"/>
      <protection hidden="1"/>
    </xf>
    <xf numFmtId="0" fontId="0" fillId="9" borderId="0" xfId="0" applyFill="1" applyBorder="1" applyAlignment="1" applyProtection="1">
      <alignment horizontal="center"/>
      <protection hidden="1"/>
    </xf>
    <xf numFmtId="0" fontId="38" fillId="9" borderId="26" xfId="0" applyFont="1" applyFill="1" applyBorder="1" applyProtection="1">
      <protection hidden="1"/>
    </xf>
    <xf numFmtId="0" fontId="38" fillId="9" borderId="27" xfId="0" applyFont="1" applyFill="1" applyBorder="1" applyProtection="1">
      <protection hidden="1"/>
    </xf>
    <xf numFmtId="0" fontId="0" fillId="0" borderId="28" xfId="0" applyFont="1" applyBorder="1" applyAlignment="1" applyProtection="1">
      <alignment horizontal="center" vertical="center" wrapText="1"/>
    </xf>
    <xf numFmtId="0" fontId="0" fillId="3" borderId="1" xfId="0" applyFill="1" applyBorder="1" applyAlignment="1">
      <alignment horizontal="center"/>
    </xf>
    <xf numFmtId="0" fontId="11" fillId="6" borderId="2" xfId="0" applyFont="1" applyFill="1" applyBorder="1" applyAlignment="1">
      <alignment horizontal="center"/>
    </xf>
    <xf numFmtId="0" fontId="0" fillId="3" borderId="50" xfId="0" applyFill="1" applyBorder="1"/>
    <xf numFmtId="0" fontId="86" fillId="3" borderId="50" xfId="0" applyFont="1" applyFill="1" applyBorder="1" applyAlignment="1">
      <alignment horizontal="centerContinuous"/>
    </xf>
    <xf numFmtId="0" fontId="81" fillId="3" borderId="50" xfId="0" applyFont="1" applyFill="1" applyBorder="1" applyAlignment="1">
      <alignment horizontal="centerContinuous"/>
    </xf>
    <xf numFmtId="0" fontId="0" fillId="3" borderId="47" xfId="0" applyFill="1" applyBorder="1"/>
    <xf numFmtId="0" fontId="86" fillId="3" borderId="47" xfId="0" applyFont="1" applyFill="1" applyBorder="1" applyAlignment="1">
      <alignment horizontal="centerContinuous"/>
    </xf>
    <xf numFmtId="0" fontId="81" fillId="3" borderId="47" xfId="0" applyFont="1" applyFill="1" applyBorder="1" applyAlignment="1">
      <alignment horizontal="centerContinuous"/>
    </xf>
    <xf numFmtId="9" fontId="0" fillId="3" borderId="0" xfId="11" applyFont="1" applyFill="1" applyBorder="1" applyAlignment="1" applyProtection="1">
      <alignment horizontal="center"/>
    </xf>
    <xf numFmtId="0" fontId="116" fillId="3" borderId="0" xfId="0" applyFont="1" applyFill="1" applyBorder="1" applyAlignment="1" applyProtection="1">
      <alignment horizontal="left"/>
      <protection locked="0"/>
    </xf>
    <xf numFmtId="0" fontId="14" fillId="3" borderId="0" xfId="0" quotePrefix="1" applyFont="1" applyFill="1" applyBorder="1"/>
    <xf numFmtId="0" fontId="0" fillId="3" borderId="0" xfId="0" applyFont="1" applyFill="1" applyBorder="1"/>
    <xf numFmtId="0" fontId="12" fillId="3" borderId="0" xfId="0" applyFont="1" applyFill="1" applyBorder="1"/>
    <xf numFmtId="0" fontId="0" fillId="3" borderId="0" xfId="0" applyFont="1" applyFill="1" applyBorder="1" applyAlignment="1" applyProtection="1">
      <alignment horizontal="left"/>
      <protection locked="0"/>
    </xf>
    <xf numFmtId="0" fontId="0" fillId="3" borderId="0" xfId="0" applyFont="1" applyFill="1" applyBorder="1" applyProtection="1">
      <protection locked="0"/>
    </xf>
    <xf numFmtId="9" fontId="0" fillId="6" borderId="2" xfId="11" applyFont="1" applyFill="1" applyBorder="1" applyAlignment="1" applyProtection="1">
      <alignment horizontal="center"/>
    </xf>
    <xf numFmtId="9" fontId="0" fillId="6" borderId="7" xfId="11" applyFont="1" applyFill="1" applyBorder="1" applyAlignment="1" applyProtection="1">
      <alignment horizontal="center"/>
    </xf>
    <xf numFmtId="9" fontId="0" fillId="6" borderId="3" xfId="11" applyFont="1" applyFill="1" applyBorder="1" applyAlignment="1" applyProtection="1">
      <alignment horizontal="center"/>
    </xf>
    <xf numFmtId="9" fontId="17" fillId="7" borderId="0" xfId="11" applyNumberFormat="1" applyFont="1" applyFill="1" applyBorder="1" applyAlignment="1" applyProtection="1">
      <alignment horizontal="left"/>
    </xf>
    <xf numFmtId="9" fontId="0" fillId="7" borderId="0" xfId="11" applyNumberFormat="1" applyFont="1" applyFill="1" applyBorder="1" applyAlignment="1" applyProtection="1">
      <alignment horizontal="left"/>
    </xf>
    <xf numFmtId="9" fontId="0" fillId="3" borderId="0" xfId="11" applyFont="1" applyFill="1" applyBorder="1" applyAlignment="1" applyProtection="1">
      <alignment horizontal="left"/>
    </xf>
    <xf numFmtId="9" fontId="0" fillId="4" borderId="0" xfId="11" applyFont="1" applyFill="1" applyBorder="1" applyAlignment="1" applyProtection="1">
      <alignment horizontal="left"/>
    </xf>
    <xf numFmtId="9" fontId="0" fillId="5" borderId="4" xfId="11" applyFont="1" applyFill="1" applyBorder="1" applyAlignment="1" applyProtection="1">
      <alignment horizontal="left"/>
    </xf>
    <xf numFmtId="9" fontId="0" fillId="4" borderId="0" xfId="11" applyNumberFormat="1" applyFont="1" applyFill="1" applyBorder="1" applyAlignment="1" applyProtection="1">
      <alignment horizontal="left"/>
    </xf>
    <xf numFmtId="0" fontId="117" fillId="19" borderId="23" xfId="12" applyFont="1" applyFill="1" applyBorder="1" applyAlignment="1">
      <alignment horizontal="left" vertical="center"/>
    </xf>
    <xf numFmtId="0" fontId="119" fillId="19" borderId="24" xfId="12" applyFont="1" applyFill="1" applyBorder="1"/>
    <xf numFmtId="0" fontId="119" fillId="19" borderId="24" xfId="12" applyFont="1" applyFill="1" applyBorder="1" applyAlignment="1">
      <alignment horizontal="center"/>
    </xf>
    <xf numFmtId="0" fontId="2" fillId="19" borderId="24" xfId="12" applyFill="1" applyBorder="1"/>
    <xf numFmtId="0" fontId="2" fillId="19" borderId="25" xfId="12" applyFill="1" applyBorder="1"/>
    <xf numFmtId="0" fontId="2" fillId="0" borderId="0" xfId="12"/>
    <xf numFmtId="0" fontId="118" fillId="19" borderId="0" xfId="12" applyFont="1" applyFill="1" applyBorder="1" applyAlignment="1" applyProtection="1">
      <alignment horizontal="left" vertical="center"/>
    </xf>
    <xf numFmtId="0" fontId="2" fillId="19" borderId="0" xfId="12" applyFont="1" applyFill="1" applyBorder="1" applyProtection="1"/>
    <xf numFmtId="0" fontId="2" fillId="19" borderId="0" xfId="12" applyFont="1" applyFill="1" applyBorder="1" applyAlignment="1" applyProtection="1">
      <alignment horizontal="center"/>
    </xf>
    <xf numFmtId="0" fontId="120" fillId="19" borderId="35" xfId="12" applyFont="1" applyFill="1" applyBorder="1" applyAlignment="1">
      <alignment horizontal="centerContinuous" vertical="center"/>
    </xf>
    <xf numFmtId="0" fontId="2" fillId="19" borderId="17" xfId="12" applyFill="1" applyBorder="1" applyAlignment="1">
      <alignment horizontal="centerContinuous"/>
    </xf>
    <xf numFmtId="0" fontId="2" fillId="19" borderId="36" xfId="12" applyFill="1" applyBorder="1" applyAlignment="1">
      <alignment horizontal="centerContinuous"/>
    </xf>
    <xf numFmtId="0" fontId="120" fillId="19" borderId="48" xfId="12" applyFont="1" applyFill="1" applyBorder="1" applyAlignment="1">
      <alignment horizontal="centerContinuous" vertical="center"/>
    </xf>
    <xf numFmtId="0" fontId="2" fillId="19" borderId="0" xfId="12" applyFill="1" applyBorder="1" applyAlignment="1">
      <alignment horizontal="centerContinuous"/>
    </xf>
    <xf numFmtId="0" fontId="2" fillId="19" borderId="49" xfId="12" applyFill="1" applyBorder="1" applyAlignment="1">
      <alignment horizontal="centerContinuous"/>
    </xf>
    <xf numFmtId="0" fontId="118" fillId="19" borderId="48" xfId="12" applyFont="1" applyFill="1" applyBorder="1" applyAlignment="1">
      <alignment horizontal="left" vertical="center"/>
    </xf>
    <xf numFmtId="0" fontId="2" fillId="19" borderId="0" xfId="12" applyFill="1" applyBorder="1"/>
    <xf numFmtId="0" fontId="2" fillId="19" borderId="0" xfId="12" applyFill="1" applyBorder="1" applyAlignment="1">
      <alignment horizontal="center"/>
    </xf>
    <xf numFmtId="0" fontId="2" fillId="19" borderId="49" xfId="12" applyFill="1" applyBorder="1"/>
    <xf numFmtId="0" fontId="118" fillId="19" borderId="35" xfId="12" applyFont="1" applyFill="1" applyBorder="1" applyAlignment="1">
      <alignment horizontal="left" vertical="center"/>
    </xf>
    <xf numFmtId="0" fontId="2" fillId="19" borderId="17" xfId="12" applyFill="1" applyBorder="1"/>
    <xf numFmtId="0" fontId="2" fillId="19" borderId="17" xfId="12" applyFill="1" applyBorder="1" applyAlignment="1">
      <alignment horizontal="center"/>
    </xf>
    <xf numFmtId="0" fontId="121" fillId="19" borderId="17" xfId="12" applyFont="1" applyFill="1" applyBorder="1"/>
    <xf numFmtId="0" fontId="2" fillId="19" borderId="36" xfId="12" applyFill="1" applyBorder="1"/>
    <xf numFmtId="1" fontId="122" fillId="19" borderId="35" xfId="13" applyNumberFormat="1" applyFont="1" applyFill="1" applyBorder="1"/>
    <xf numFmtId="0" fontId="118" fillId="19" borderId="17" xfId="12" applyFont="1" applyFill="1" applyBorder="1" applyAlignment="1">
      <alignment horizontal="left" vertical="center"/>
    </xf>
    <xf numFmtId="0" fontId="123" fillId="19" borderId="17" xfId="12" applyFont="1" applyFill="1" applyBorder="1" applyAlignment="1">
      <alignment horizontal="center" vertical="center"/>
    </xf>
    <xf numFmtId="0" fontId="111" fillId="19" borderId="17" xfId="0" applyFont="1" applyFill="1" applyBorder="1" applyAlignment="1">
      <alignment horizontal="center" vertical="center"/>
    </xf>
    <xf numFmtId="0" fontId="111" fillId="19" borderId="36" xfId="0" applyFont="1" applyFill="1" applyBorder="1" applyAlignment="1">
      <alignment horizontal="center" vertical="center"/>
    </xf>
    <xf numFmtId="1" fontId="122" fillId="19" borderId="0" xfId="13" applyNumberFormat="1" applyFont="1" applyFill="1" applyBorder="1" applyProtection="1"/>
    <xf numFmtId="0" fontId="112" fillId="19" borderId="0" xfId="12" applyFont="1" applyFill="1" applyBorder="1" applyAlignment="1" applyProtection="1">
      <alignment horizontal="center" vertical="center"/>
    </xf>
    <xf numFmtId="1" fontId="124" fillId="19" borderId="48" xfId="12" applyNumberFormat="1" applyFont="1" applyFill="1" applyBorder="1" applyAlignment="1">
      <alignment vertical="center"/>
    </xf>
    <xf numFmtId="0" fontId="124" fillId="19" borderId="0" xfId="12" applyFont="1" applyFill="1" applyBorder="1" applyAlignment="1">
      <alignment vertical="center"/>
    </xf>
    <xf numFmtId="0" fontId="111" fillId="19" borderId="0" xfId="0" applyFont="1" applyFill="1" applyBorder="1" applyAlignment="1">
      <alignment horizontal="center" vertical="center"/>
    </xf>
    <xf numFmtId="0" fontId="111" fillId="19" borderId="49" xfId="0" applyFont="1" applyFill="1" applyBorder="1" applyAlignment="1">
      <alignment horizontal="center" vertical="center"/>
    </xf>
    <xf numFmtId="1" fontId="124" fillId="19" borderId="0" xfId="12" applyNumberFormat="1" applyFont="1" applyFill="1" applyBorder="1" applyAlignment="1" applyProtection="1">
      <alignment vertical="center"/>
    </xf>
    <xf numFmtId="0" fontId="124" fillId="19" borderId="0" xfId="12" applyFont="1" applyFill="1" applyBorder="1" applyAlignment="1" applyProtection="1">
      <alignment vertical="center"/>
    </xf>
    <xf numFmtId="2" fontId="124" fillId="19" borderId="0" xfId="12" applyNumberFormat="1" applyFont="1" applyFill="1" applyBorder="1" applyAlignment="1">
      <alignment vertical="center"/>
    </xf>
    <xf numFmtId="0" fontId="112" fillId="19" borderId="49" xfId="12" applyFont="1" applyFill="1" applyBorder="1" applyAlignment="1" applyProtection="1">
      <alignment horizontal="center" vertical="center"/>
      <protection locked="0"/>
    </xf>
    <xf numFmtId="2" fontId="124" fillId="19" borderId="0" xfId="12" applyNumberFormat="1" applyFont="1" applyFill="1" applyBorder="1" applyAlignment="1" applyProtection="1">
      <alignment vertical="center"/>
    </xf>
    <xf numFmtId="0" fontId="125" fillId="19" borderId="48" xfId="14" applyFont="1" applyFill="1" applyBorder="1"/>
    <xf numFmtId="0" fontId="126" fillId="19" borderId="0" xfId="14" applyFont="1" applyFill="1" applyBorder="1" applyAlignment="1">
      <alignment horizontal="left"/>
    </xf>
    <xf numFmtId="0" fontId="127" fillId="19" borderId="0" xfId="12" applyFont="1" applyFill="1" applyBorder="1" applyAlignment="1">
      <alignment vertical="center"/>
    </xf>
    <xf numFmtId="0" fontId="128" fillId="19" borderId="0" xfId="12" applyFont="1" applyFill="1" applyBorder="1" applyAlignment="1">
      <alignment vertical="center"/>
    </xf>
    <xf numFmtId="0" fontId="129" fillId="19" borderId="0" xfId="12" applyFont="1" applyFill="1" applyBorder="1" applyAlignment="1">
      <alignment vertical="center"/>
    </xf>
    <xf numFmtId="0" fontId="118" fillId="19" borderId="0" xfId="12" applyFont="1" applyFill="1" applyBorder="1" applyAlignment="1">
      <alignment vertical="center"/>
    </xf>
    <xf numFmtId="0" fontId="111" fillId="19" borderId="49" xfId="12" applyFont="1" applyFill="1" applyBorder="1" applyAlignment="1">
      <alignment horizontal="center" vertical="center" shrinkToFit="1"/>
    </xf>
    <xf numFmtId="0" fontId="2" fillId="19" borderId="0" xfId="14" applyFont="1" applyFill="1" applyBorder="1" applyProtection="1"/>
    <xf numFmtId="0" fontId="121" fillId="19" borderId="0" xfId="14" applyFont="1" applyFill="1" applyBorder="1" applyAlignment="1" applyProtection="1">
      <alignment horizontal="centerContinuous"/>
    </xf>
    <xf numFmtId="9" fontId="132" fillId="19" borderId="48" xfId="14" applyNumberFormat="1" applyFont="1" applyFill="1" applyBorder="1" applyAlignment="1">
      <alignment horizontal="right"/>
    </xf>
    <xf numFmtId="0" fontId="132" fillId="19" borderId="49" xfId="14" applyFont="1" applyFill="1" applyBorder="1"/>
    <xf numFmtId="0" fontId="132" fillId="19" borderId="0" xfId="12" applyFont="1" applyFill="1" applyBorder="1" applyAlignment="1">
      <alignment vertical="center"/>
    </xf>
    <xf numFmtId="0" fontId="132" fillId="19" borderId="49" xfId="12" applyFont="1" applyFill="1" applyBorder="1" applyAlignment="1">
      <alignment vertical="center"/>
    </xf>
    <xf numFmtId="9" fontId="133" fillId="19" borderId="0" xfId="14" applyNumberFormat="1" applyFont="1" applyFill="1" applyBorder="1" applyAlignment="1">
      <alignment horizontal="right"/>
    </xf>
    <xf numFmtId="9" fontId="133" fillId="19" borderId="0" xfId="14" applyNumberFormat="1" applyFont="1" applyFill="1" applyBorder="1"/>
    <xf numFmtId="0" fontId="134" fillId="19" borderId="49" xfId="12" applyFont="1" applyFill="1" applyBorder="1" applyAlignment="1">
      <alignment vertical="center"/>
    </xf>
    <xf numFmtId="9" fontId="134" fillId="19" borderId="0" xfId="14" applyNumberFormat="1" applyFont="1" applyFill="1" applyBorder="1" applyAlignment="1">
      <alignment horizontal="right"/>
    </xf>
    <xf numFmtId="0" fontId="134" fillId="19" borderId="0" xfId="14" applyFont="1" applyFill="1" applyBorder="1"/>
    <xf numFmtId="0" fontId="134" fillId="19" borderId="0" xfId="12" applyFont="1" applyFill="1" applyBorder="1" applyAlignment="1">
      <alignment vertical="center"/>
    </xf>
    <xf numFmtId="0" fontId="135" fillId="19" borderId="49" xfId="12" applyFont="1" applyFill="1" applyBorder="1" applyAlignment="1">
      <alignment horizontal="center" vertical="center" shrinkToFit="1"/>
    </xf>
    <xf numFmtId="0" fontId="2" fillId="19" borderId="0" xfId="12" applyFill="1"/>
    <xf numFmtId="9" fontId="136" fillId="19" borderId="0" xfId="14" applyNumberFormat="1" applyFont="1" applyFill="1" applyBorder="1" applyAlignment="1" applyProtection="1">
      <alignment horizontal="center"/>
    </xf>
    <xf numFmtId="0" fontId="136" fillId="19" borderId="0" xfId="14" applyFont="1" applyFill="1" applyBorder="1" applyProtection="1"/>
    <xf numFmtId="0" fontId="137" fillId="19" borderId="0" xfId="12" applyFont="1" applyFill="1" applyBorder="1" applyAlignment="1" applyProtection="1">
      <alignment vertical="center"/>
    </xf>
    <xf numFmtId="9" fontId="125" fillId="19" borderId="48" xfId="14" applyNumberFormat="1" applyFont="1" applyFill="1" applyBorder="1" applyAlignment="1">
      <alignment horizontal="right"/>
    </xf>
    <xf numFmtId="0" fontId="125" fillId="19" borderId="49" xfId="14" applyFont="1" applyFill="1" applyBorder="1"/>
    <xf numFmtId="0" fontId="138" fillId="19" borderId="0" xfId="12" applyFont="1" applyFill="1" applyBorder="1" applyAlignment="1">
      <alignment vertical="center"/>
    </xf>
    <xf numFmtId="0" fontId="138" fillId="19" borderId="49" xfId="12" applyFont="1" applyFill="1" applyBorder="1" applyAlignment="1">
      <alignment vertical="center"/>
    </xf>
    <xf numFmtId="9" fontId="139" fillId="19" borderId="0" xfId="14" applyNumberFormat="1" applyFont="1" applyFill="1" applyBorder="1" applyAlignment="1">
      <alignment horizontal="right"/>
    </xf>
    <xf numFmtId="9" fontId="139" fillId="19" borderId="0" xfId="14" applyNumberFormat="1" applyFont="1" applyFill="1" applyBorder="1"/>
    <xf numFmtId="0" fontId="140" fillId="19" borderId="49" xfId="12" applyFont="1" applyFill="1" applyBorder="1" applyAlignment="1">
      <alignment vertical="center"/>
    </xf>
    <xf numFmtId="9" fontId="2" fillId="19" borderId="0" xfId="14" applyNumberFormat="1" applyFont="1" applyFill="1" applyBorder="1" applyAlignment="1">
      <alignment horizontal="right"/>
    </xf>
    <xf numFmtId="0" fontId="2" fillId="19" borderId="0" xfId="14" applyFont="1" applyFill="1" applyBorder="1"/>
    <xf numFmtId="0" fontId="140" fillId="19" borderId="0" xfId="12" applyFont="1" applyFill="1" applyBorder="1" applyAlignment="1">
      <alignment vertical="center"/>
    </xf>
    <xf numFmtId="0" fontId="141" fillId="19" borderId="49" xfId="12" applyFont="1" applyFill="1" applyBorder="1" applyAlignment="1">
      <alignment horizontal="center" vertical="center" shrinkToFit="1"/>
    </xf>
    <xf numFmtId="9" fontId="2" fillId="19" borderId="0" xfId="14" applyNumberFormat="1" applyFont="1" applyFill="1" applyBorder="1" applyAlignment="1" applyProtection="1">
      <alignment horizontal="center"/>
    </xf>
    <xf numFmtId="0" fontId="141" fillId="19" borderId="0" xfId="12" applyFont="1" applyFill="1" applyBorder="1" applyAlignment="1" applyProtection="1">
      <alignment horizontal="center" vertical="center" shrinkToFit="1"/>
    </xf>
    <xf numFmtId="0" fontId="125" fillId="19" borderId="0" xfId="14" applyFont="1" applyFill="1" applyBorder="1"/>
    <xf numFmtId="0" fontId="142" fillId="0" borderId="53" xfId="12" applyFont="1" applyBorder="1" applyAlignment="1">
      <alignment horizontal="left" vertical="center"/>
    </xf>
    <xf numFmtId="9" fontId="125" fillId="19" borderId="0" xfId="14" applyNumberFormat="1" applyFont="1" applyFill="1" applyBorder="1" applyAlignment="1">
      <alignment horizontal="center"/>
    </xf>
    <xf numFmtId="0" fontId="2" fillId="19" borderId="50" xfId="12" applyFill="1" applyBorder="1" applyAlignment="1">
      <alignment horizontal="center" vertical="center"/>
    </xf>
    <xf numFmtId="9" fontId="139" fillId="19" borderId="0" xfId="14" applyNumberFormat="1" applyFont="1" applyFill="1" applyBorder="1" applyAlignment="1">
      <alignment horizontal="left"/>
    </xf>
    <xf numFmtId="0" fontId="124" fillId="19" borderId="50" xfId="12" applyFont="1" applyFill="1" applyBorder="1" applyAlignment="1">
      <alignment vertical="center"/>
    </xf>
    <xf numFmtId="9" fontId="2" fillId="19" borderId="0" xfId="14" applyNumberFormat="1" applyFont="1" applyFill="1" applyBorder="1" applyAlignment="1">
      <alignment horizontal="left"/>
    </xf>
    <xf numFmtId="0" fontId="141" fillId="19" borderId="51" xfId="12" applyFont="1" applyFill="1" applyBorder="1" applyAlignment="1">
      <alignment horizontal="center" vertical="center" shrinkToFit="1"/>
    </xf>
    <xf numFmtId="0" fontId="2" fillId="0" borderId="0" xfId="12" applyAlignment="1">
      <alignment horizontal="center" vertical="center"/>
    </xf>
    <xf numFmtId="0" fontId="2" fillId="0" borderId="0" xfId="12" applyAlignment="1">
      <alignment horizontal="left" vertical="center"/>
    </xf>
    <xf numFmtId="0" fontId="2" fillId="0" borderId="0" xfId="12" applyFont="1" applyAlignment="1">
      <alignment horizontal="center" vertical="center"/>
    </xf>
    <xf numFmtId="0" fontId="2" fillId="19" borderId="0" xfId="12" applyFont="1" applyFill="1" applyBorder="1" applyAlignment="1" applyProtection="1">
      <alignment horizontal="center" vertical="center"/>
    </xf>
    <xf numFmtId="0" fontId="143" fillId="19" borderId="28" xfId="12" applyFont="1" applyFill="1" applyBorder="1" applyAlignment="1">
      <alignment horizontal="center" vertical="top" wrapText="1"/>
    </xf>
    <xf numFmtId="0" fontId="144" fillId="19" borderId="28" xfId="12" applyFont="1" applyFill="1" applyBorder="1" applyAlignment="1">
      <alignment horizontal="center" vertical="top" wrapText="1"/>
    </xf>
    <xf numFmtId="0" fontId="145" fillId="0" borderId="54" xfId="12" applyFont="1" applyBorder="1" applyAlignment="1">
      <alignment horizontal="center"/>
    </xf>
    <xf numFmtId="0" fontId="146" fillId="19" borderId="25" xfId="12" applyFont="1" applyFill="1" applyBorder="1" applyAlignment="1">
      <alignment horizontal="center" vertical="center" wrapText="1"/>
    </xf>
    <xf numFmtId="0" fontId="147" fillId="19" borderId="23" xfId="12" applyFont="1" applyFill="1" applyBorder="1" applyAlignment="1">
      <alignment horizontal="center"/>
    </xf>
    <xf numFmtId="1" fontId="146" fillId="19" borderId="28" xfId="12" applyNumberFormat="1" applyFont="1" applyFill="1" applyBorder="1" applyAlignment="1">
      <alignment horizontal="center" vertical="center" shrinkToFit="1"/>
    </xf>
    <xf numFmtId="0" fontId="146" fillId="19" borderId="28" xfId="12" applyFont="1" applyFill="1" applyBorder="1" applyAlignment="1">
      <alignment horizontal="center" vertical="center" shrinkToFit="1"/>
    </xf>
    <xf numFmtId="0" fontId="2" fillId="0" borderId="0" xfId="12" applyAlignment="1">
      <alignment horizontal="center"/>
    </xf>
    <xf numFmtId="0" fontId="148" fillId="9" borderId="0" xfId="0" applyFont="1" applyFill="1" applyBorder="1" applyAlignment="1">
      <alignment horizontal="center"/>
    </xf>
    <xf numFmtId="0" fontId="111" fillId="9" borderId="0" xfId="0" applyFont="1" applyFill="1" applyBorder="1" applyAlignment="1">
      <alignment horizontal="center"/>
    </xf>
    <xf numFmtId="0" fontId="143" fillId="19" borderId="0" xfId="12" applyFont="1" applyFill="1" applyBorder="1" applyAlignment="1" applyProtection="1">
      <alignment horizontal="center" vertical="top" wrapText="1"/>
    </xf>
    <xf numFmtId="0" fontId="144" fillId="19" borderId="0" xfId="12" applyFont="1" applyFill="1" applyBorder="1" applyAlignment="1" applyProtection="1">
      <alignment horizontal="center" vertical="top" wrapText="1"/>
    </xf>
    <xf numFmtId="0" fontId="145" fillId="0" borderId="0" xfId="12" applyFont="1" applyBorder="1" applyAlignment="1" applyProtection="1">
      <alignment horizontal="center"/>
    </xf>
    <xf numFmtId="0" fontId="146" fillId="19" borderId="0" xfId="12" applyFont="1" applyFill="1" applyBorder="1" applyAlignment="1" applyProtection="1">
      <alignment horizontal="center" vertical="center" wrapText="1"/>
    </xf>
    <xf numFmtId="0" fontId="147" fillId="19" borderId="0" xfId="12" applyFont="1" applyFill="1" applyBorder="1" applyAlignment="1" applyProtection="1">
      <alignment horizontal="center"/>
    </xf>
    <xf numFmtId="1" fontId="146" fillId="19" borderId="0" xfId="12" applyNumberFormat="1" applyFont="1" applyFill="1" applyBorder="1" applyAlignment="1" applyProtection="1">
      <alignment horizontal="center" vertical="center" shrinkToFit="1"/>
    </xf>
    <xf numFmtId="0" fontId="146" fillId="19" borderId="0" xfId="12" applyFont="1" applyFill="1" applyBorder="1" applyAlignment="1" applyProtection="1">
      <alignment horizontal="center" vertical="center" shrinkToFit="1"/>
    </xf>
    <xf numFmtId="0" fontId="149" fillId="19" borderId="28" xfId="12" applyFont="1" applyFill="1" applyBorder="1" applyAlignment="1">
      <alignment horizontal="center" vertical="center"/>
    </xf>
    <xf numFmtId="9" fontId="150" fillId="19" borderId="54" xfId="12" applyNumberFormat="1" applyFont="1" applyFill="1" applyBorder="1" applyAlignment="1">
      <alignment horizontal="center" vertical="center" wrapText="1"/>
    </xf>
    <xf numFmtId="0" fontId="151" fillId="19" borderId="28" xfId="12" applyFont="1" applyFill="1" applyBorder="1" applyAlignment="1">
      <alignment horizontal="center" shrinkToFit="1"/>
    </xf>
    <xf numFmtId="0" fontId="151" fillId="19" borderId="28" xfId="12" applyFont="1" applyFill="1" applyBorder="1" applyAlignment="1">
      <alignment shrinkToFit="1"/>
    </xf>
    <xf numFmtId="1" fontId="152" fillId="19" borderId="28" xfId="12" applyNumberFormat="1" applyFont="1" applyFill="1" applyBorder="1" applyAlignment="1">
      <alignment horizontal="center" vertical="center" shrinkToFit="1"/>
    </xf>
    <xf numFmtId="0" fontId="152" fillId="19" borderId="28" xfId="12" applyFont="1" applyFill="1" applyBorder="1" applyAlignment="1">
      <alignment horizontal="center" vertical="center" shrinkToFit="1"/>
    </xf>
    <xf numFmtId="0" fontId="149" fillId="19" borderId="0" xfId="12" applyFont="1" applyFill="1" applyBorder="1" applyAlignment="1" applyProtection="1">
      <alignment horizontal="center" vertical="center"/>
    </xf>
    <xf numFmtId="9" fontId="150" fillId="19" borderId="0" xfId="12" applyNumberFormat="1" applyFont="1" applyFill="1" applyBorder="1" applyAlignment="1" applyProtection="1">
      <alignment horizontal="center" vertical="center" wrapText="1"/>
    </xf>
    <xf numFmtId="0" fontId="151" fillId="19" borderId="0" xfId="12" applyFont="1" applyFill="1" applyBorder="1" applyAlignment="1" applyProtection="1">
      <alignment shrinkToFit="1"/>
    </xf>
    <xf numFmtId="1" fontId="152" fillId="19" borderId="0" xfId="12" applyNumberFormat="1" applyFont="1" applyFill="1" applyBorder="1" applyAlignment="1" applyProtection="1">
      <alignment horizontal="center" vertical="center" shrinkToFit="1"/>
    </xf>
    <xf numFmtId="0" fontId="152" fillId="19" borderId="0" xfId="12" applyFont="1" applyFill="1" applyBorder="1" applyAlignment="1" applyProtection="1">
      <alignment horizontal="center" vertical="center" shrinkToFit="1"/>
    </xf>
    <xf numFmtId="0" fontId="153" fillId="19" borderId="28" xfId="12" applyFont="1" applyFill="1" applyBorder="1" applyAlignment="1">
      <alignment horizontal="center" vertical="center"/>
    </xf>
    <xf numFmtId="9" fontId="154" fillId="19" borderId="54" xfId="12" applyNumberFormat="1" applyFont="1" applyFill="1" applyBorder="1" applyAlignment="1">
      <alignment horizontal="center" vertical="center" wrapText="1"/>
    </xf>
    <xf numFmtId="0" fontId="155" fillId="19" borderId="0" xfId="12" applyFont="1" applyFill="1" applyBorder="1" applyAlignment="1" applyProtection="1">
      <alignment horizontal="center" vertical="center" shrinkToFit="1"/>
    </xf>
    <xf numFmtId="0" fontId="156" fillId="19" borderId="0" xfId="12" applyFont="1" applyFill="1" applyBorder="1" applyAlignment="1" applyProtection="1">
      <alignment shrinkToFit="1"/>
    </xf>
    <xf numFmtId="1" fontId="157" fillId="19" borderId="0" xfId="12" applyNumberFormat="1" applyFont="1" applyFill="1" applyBorder="1" applyAlignment="1" applyProtection="1">
      <alignment horizontal="center" vertical="center" shrinkToFit="1"/>
    </xf>
    <xf numFmtId="0" fontId="157" fillId="19" borderId="0" xfId="12" applyFont="1" applyFill="1" applyBorder="1" applyAlignment="1" applyProtection="1">
      <alignment horizontal="center" vertical="center" shrinkToFit="1"/>
    </xf>
    <xf numFmtId="0" fontId="153" fillId="19" borderId="0" xfId="12" applyFont="1" applyFill="1" applyBorder="1" applyAlignment="1" applyProtection="1">
      <alignment horizontal="center" vertical="center"/>
    </xf>
    <xf numFmtId="9" fontId="154" fillId="19" borderId="0" xfId="12" applyNumberFormat="1" applyFont="1" applyFill="1" applyBorder="1" applyAlignment="1" applyProtection="1">
      <alignment horizontal="center" vertical="center" wrapText="1"/>
    </xf>
    <xf numFmtId="0" fontId="125" fillId="19" borderId="48" xfId="14" applyFont="1" applyFill="1" applyBorder="1" applyAlignment="1">
      <alignment horizontal="left" vertical="center"/>
    </xf>
    <xf numFmtId="0" fontId="158" fillId="19" borderId="0" xfId="12" applyFont="1" applyFill="1" applyBorder="1" applyAlignment="1" applyProtection="1">
      <alignment horizontal="left" vertical="center" wrapText="1"/>
    </xf>
    <xf numFmtId="1" fontId="159" fillId="22" borderId="0" xfId="0" applyNumberFormat="1" applyFont="1" applyFill="1" applyBorder="1" applyAlignment="1">
      <alignment horizontal="left"/>
    </xf>
    <xf numFmtId="0" fontId="160" fillId="22" borderId="0" xfId="0" applyFont="1" applyFill="1" applyBorder="1" applyAlignment="1">
      <alignment horizontal="center"/>
    </xf>
    <xf numFmtId="0" fontId="125" fillId="19" borderId="55" xfId="14" applyFont="1" applyFill="1" applyBorder="1" applyAlignment="1">
      <alignment horizontal="left" vertical="top"/>
    </xf>
    <xf numFmtId="0" fontId="158" fillId="19" borderId="50" xfId="12" applyFont="1" applyFill="1" applyBorder="1" applyAlignment="1" applyProtection="1">
      <alignment horizontal="left" vertical="center" wrapText="1"/>
    </xf>
    <xf numFmtId="0" fontId="125" fillId="19" borderId="50" xfId="14" applyFont="1" applyFill="1" applyBorder="1" applyAlignment="1">
      <alignment horizontal="left" vertical="top"/>
    </xf>
    <xf numFmtId="0" fontId="2" fillId="19" borderId="51" xfId="12" applyFill="1" applyBorder="1"/>
    <xf numFmtId="0" fontId="161" fillId="19" borderId="28" xfId="12" applyFont="1" applyFill="1" applyBorder="1" applyAlignment="1">
      <alignment horizontal="center" vertical="center"/>
    </xf>
    <xf numFmtId="0" fontId="162" fillId="19" borderId="28" xfId="12" applyFont="1" applyFill="1" applyBorder="1" applyAlignment="1">
      <alignment horizontal="center" vertical="center" wrapText="1"/>
    </xf>
    <xf numFmtId="9" fontId="162" fillId="19" borderId="54" xfId="12" applyNumberFormat="1" applyFont="1" applyFill="1" applyBorder="1" applyAlignment="1">
      <alignment horizontal="center" vertical="center" wrapText="1"/>
    </xf>
    <xf numFmtId="1" fontId="163" fillId="22" borderId="17" xfId="0" applyNumberFormat="1" applyFont="1" applyFill="1" applyBorder="1" applyAlignment="1">
      <alignment horizontal="left"/>
    </xf>
    <xf numFmtId="0" fontId="164" fillId="22" borderId="17" xfId="0" applyFont="1" applyFill="1" applyBorder="1" applyAlignment="1">
      <alignment horizontal="center"/>
    </xf>
    <xf numFmtId="0" fontId="2" fillId="23" borderId="0" xfId="12" applyFill="1" applyAlignment="1">
      <alignment horizontal="center"/>
    </xf>
    <xf numFmtId="0" fontId="158" fillId="23" borderId="0" xfId="12" applyFont="1" applyFill="1" applyBorder="1" applyAlignment="1" applyProtection="1">
      <alignment horizontal="left" vertical="center" wrapText="1"/>
    </xf>
    <xf numFmtId="0" fontId="2" fillId="23" borderId="49" xfId="12" applyFill="1" applyBorder="1"/>
    <xf numFmtId="1" fontId="163" fillId="22" borderId="0" xfId="0" applyNumberFormat="1" applyFont="1" applyFill="1" applyBorder="1" applyAlignment="1">
      <alignment horizontal="left"/>
    </xf>
    <xf numFmtId="0" fontId="164" fillId="22" borderId="0" xfId="0" applyFont="1" applyFill="1" applyBorder="1" applyAlignment="1">
      <alignment horizontal="center"/>
    </xf>
    <xf numFmtId="0" fontId="125" fillId="19" borderId="0" xfId="14" applyFont="1" applyFill="1" applyBorder="1" applyAlignment="1" applyProtection="1">
      <alignment horizontal="left" vertical="top"/>
    </xf>
    <xf numFmtId="0" fontId="2" fillId="19" borderId="0" xfId="12" applyFont="1" applyFill="1" applyBorder="1"/>
    <xf numFmtId="0" fontId="165" fillId="19" borderId="35" xfId="12" applyFont="1" applyFill="1" applyBorder="1" applyAlignment="1">
      <alignment horizontal="center" vertical="top"/>
    </xf>
    <xf numFmtId="0" fontId="166" fillId="19" borderId="17" xfId="12" applyFont="1" applyFill="1" applyBorder="1" applyAlignment="1">
      <alignment horizontal="center" vertical="top" wrapText="1"/>
    </xf>
    <xf numFmtId="9" fontId="166" fillId="19" borderId="17" xfId="12" applyNumberFormat="1" applyFont="1" applyFill="1" applyBorder="1" applyAlignment="1">
      <alignment horizontal="center" vertical="top" wrapText="1"/>
    </xf>
    <xf numFmtId="0" fontId="161" fillId="19" borderId="0" xfId="12" applyFont="1" applyFill="1" applyBorder="1" applyAlignment="1" applyProtection="1">
      <alignment horizontal="center" vertical="center"/>
    </xf>
    <xf numFmtId="0" fontId="162" fillId="19" borderId="0" xfId="12" applyFont="1" applyFill="1" applyBorder="1" applyAlignment="1" applyProtection="1">
      <alignment horizontal="center" vertical="center" wrapText="1"/>
    </xf>
    <xf numFmtId="9" fontId="162" fillId="19" borderId="0" xfId="12" applyNumberFormat="1" applyFont="1" applyFill="1" applyBorder="1" applyAlignment="1" applyProtection="1">
      <alignment horizontal="center" vertical="center" wrapText="1"/>
    </xf>
    <xf numFmtId="1" fontId="163" fillId="22" borderId="0" xfId="0" applyNumberFormat="1" applyFont="1" applyFill="1" applyBorder="1" applyAlignment="1">
      <alignment horizontal="left" vertical="center"/>
    </xf>
    <xf numFmtId="0" fontId="164" fillId="22" borderId="0" xfId="0" applyFont="1" applyFill="1" applyBorder="1" applyAlignment="1">
      <alignment horizontal="center" vertical="center"/>
    </xf>
    <xf numFmtId="1" fontId="159" fillId="19" borderId="0" xfId="0" applyNumberFormat="1" applyFont="1" applyFill="1" applyBorder="1" applyAlignment="1">
      <alignment horizontal="left"/>
    </xf>
    <xf numFmtId="0" fontId="160" fillId="19" borderId="0" xfId="0" applyFont="1" applyFill="1" applyBorder="1" applyAlignment="1">
      <alignment horizontal="right"/>
    </xf>
    <xf numFmtId="0" fontId="165" fillId="19" borderId="0" xfId="12" applyFont="1" applyFill="1" applyBorder="1" applyAlignment="1" applyProtection="1">
      <alignment horizontal="center" vertical="center"/>
    </xf>
    <xf numFmtId="0" fontId="166" fillId="19" borderId="0" xfId="12" applyFont="1" applyFill="1" applyBorder="1" applyAlignment="1" applyProtection="1">
      <alignment horizontal="center" vertical="center" wrapText="1"/>
    </xf>
    <xf numFmtId="9" fontId="166" fillId="19" borderId="0" xfId="12" applyNumberFormat="1" applyFont="1" applyFill="1" applyBorder="1" applyAlignment="1" applyProtection="1">
      <alignment horizontal="center" vertical="center" wrapText="1"/>
    </xf>
    <xf numFmtId="1" fontId="159" fillId="22" borderId="0" xfId="0" applyNumberFormat="1" applyFont="1" applyFill="1" applyBorder="1" applyAlignment="1">
      <alignment horizontal="left" vertical="center"/>
    </xf>
    <xf numFmtId="0" fontId="160" fillId="22" borderId="0" xfId="0" applyFont="1" applyFill="1" applyBorder="1" applyAlignment="1">
      <alignment horizontal="center" vertical="center"/>
    </xf>
    <xf numFmtId="0" fontId="0" fillId="23" borderId="0" xfId="0" applyFill="1" applyBorder="1" applyAlignment="1"/>
    <xf numFmtId="0" fontId="0" fillId="23" borderId="49" xfId="0" applyFill="1" applyBorder="1" applyAlignment="1"/>
    <xf numFmtId="0" fontId="2" fillId="19" borderId="0" xfId="14" applyFont="1" applyFill="1" applyBorder="1" applyAlignment="1" applyProtection="1">
      <alignment horizontal="left" vertical="center"/>
    </xf>
    <xf numFmtId="0" fontId="166" fillId="19" borderId="0" xfId="12" applyFont="1" applyFill="1" applyBorder="1" applyAlignment="1" applyProtection="1">
      <alignment horizontal="center" vertical="top" wrapText="1"/>
    </xf>
    <xf numFmtId="9" fontId="166" fillId="19" borderId="0" xfId="12" applyNumberFormat="1" applyFont="1" applyFill="1" applyBorder="1" applyAlignment="1" applyProtection="1">
      <alignment horizontal="center" vertical="top" wrapText="1"/>
    </xf>
    <xf numFmtId="1" fontId="163" fillId="22" borderId="50" xfId="0" applyNumberFormat="1" applyFont="1" applyFill="1" applyBorder="1" applyAlignment="1">
      <alignment horizontal="left" vertical="center"/>
    </xf>
    <xf numFmtId="0" fontId="164" fillId="22" borderId="50" xfId="0" applyFont="1" applyFill="1" applyBorder="1" applyAlignment="1">
      <alignment horizontal="center" vertical="center"/>
    </xf>
    <xf numFmtId="0" fontId="2" fillId="23" borderId="50" xfId="12" applyFill="1" applyBorder="1"/>
    <xf numFmtId="0" fontId="0" fillId="23" borderId="50" xfId="0" applyFill="1" applyBorder="1" applyAlignment="1"/>
    <xf numFmtId="0" fontId="0" fillId="23" borderId="51" xfId="0" applyFill="1" applyBorder="1" applyAlignment="1"/>
    <xf numFmtId="0" fontId="2" fillId="0" borderId="0" xfId="12" applyFont="1" applyBorder="1" applyAlignment="1" applyProtection="1">
      <alignment horizontal="center"/>
    </xf>
    <xf numFmtId="0" fontId="0" fillId="24" borderId="56" xfId="0" applyFill="1" applyBorder="1" applyAlignment="1">
      <alignment horizontal="center" wrapText="1"/>
    </xf>
    <xf numFmtId="0" fontId="0" fillId="24" borderId="57" xfId="0" applyFill="1" applyBorder="1" applyAlignment="1">
      <alignment horizontal="center" wrapText="1"/>
    </xf>
    <xf numFmtId="0" fontId="146" fillId="19" borderId="25" xfId="12" applyFont="1" applyFill="1" applyBorder="1" applyAlignment="1">
      <alignment horizontal="center" vertical="center" shrinkToFit="1"/>
    </xf>
    <xf numFmtId="0" fontId="2" fillId="23" borderId="17" xfId="12" applyFill="1" applyBorder="1"/>
    <xf numFmtId="0" fontId="158" fillId="23" borderId="17" xfId="12" applyFont="1" applyFill="1" applyBorder="1" applyAlignment="1" applyProtection="1">
      <alignment horizontal="left" vertical="center" wrapText="1"/>
    </xf>
    <xf numFmtId="0" fontId="2" fillId="23" borderId="36" xfId="12" applyFill="1" applyBorder="1"/>
    <xf numFmtId="0" fontId="2" fillId="23" borderId="0" xfId="12" applyFill="1" applyBorder="1"/>
    <xf numFmtId="0" fontId="2" fillId="23" borderId="49" xfId="12" applyFill="1" applyBorder="1" applyAlignment="1"/>
    <xf numFmtId="0" fontId="165" fillId="19" borderId="0" xfId="12" applyFont="1" applyFill="1" applyBorder="1" applyAlignment="1" applyProtection="1">
      <alignment horizontal="center" vertical="top"/>
    </xf>
    <xf numFmtId="0" fontId="2" fillId="23" borderId="0" xfId="12" applyFill="1"/>
    <xf numFmtId="0" fontId="0" fillId="23" borderId="0" xfId="0" applyFill="1" applyAlignment="1"/>
    <xf numFmtId="0" fontId="0" fillId="0" borderId="0" xfId="0" applyAlignment="1">
      <alignment horizontal="left" vertical="center"/>
    </xf>
    <xf numFmtId="0" fontId="0" fillId="22" borderId="0" xfId="0" applyFill="1" applyBorder="1" applyAlignment="1" applyProtection="1"/>
    <xf numFmtId="0" fontId="0" fillId="19" borderId="0" xfId="0" applyFill="1" applyBorder="1" applyAlignment="1" applyProtection="1"/>
    <xf numFmtId="0" fontId="2" fillId="19" borderId="0" xfId="14" applyFont="1" applyFill="1" applyBorder="1" applyAlignment="1" applyProtection="1">
      <alignment horizontal="left"/>
    </xf>
    <xf numFmtId="0" fontId="151" fillId="19" borderId="28" xfId="12" applyFont="1" applyFill="1" applyBorder="1" applyAlignment="1">
      <alignment vertical="center" shrinkToFit="1"/>
    </xf>
    <xf numFmtId="0" fontId="158" fillId="19" borderId="17" xfId="12" applyFont="1" applyFill="1" applyBorder="1" applyAlignment="1" applyProtection="1">
      <alignment horizontal="left" vertical="center" wrapText="1"/>
    </xf>
    <xf numFmtId="0" fontId="143" fillId="19" borderId="0" xfId="12" applyFont="1" applyFill="1" applyBorder="1" applyAlignment="1" applyProtection="1">
      <alignment horizontal="left" vertical="top" wrapText="1"/>
    </xf>
    <xf numFmtId="0" fontId="2" fillId="19" borderId="50" xfId="12" applyFill="1" applyBorder="1" applyAlignment="1">
      <alignment horizontal="center"/>
    </xf>
    <xf numFmtId="0" fontId="2" fillId="19" borderId="50" xfId="12" applyFill="1" applyBorder="1"/>
    <xf numFmtId="0" fontId="166" fillId="19" borderId="0" xfId="12" applyFont="1" applyFill="1" applyBorder="1" applyAlignment="1">
      <alignment horizontal="center" vertical="top" wrapText="1"/>
    </xf>
    <xf numFmtId="9" fontId="166" fillId="19" borderId="0" xfId="12" applyNumberFormat="1" applyFont="1" applyFill="1" applyBorder="1" applyAlignment="1">
      <alignment horizontal="center" vertical="top" wrapText="1"/>
    </xf>
    <xf numFmtId="0" fontId="145" fillId="0" borderId="45" xfId="12" applyFont="1" applyBorder="1" applyAlignment="1">
      <alignment horizontal="center"/>
    </xf>
    <xf numFmtId="0" fontId="165" fillId="19" borderId="28" xfId="12" applyFont="1" applyFill="1" applyBorder="1" applyAlignment="1">
      <alignment horizontal="center" vertical="center"/>
    </xf>
    <xf numFmtId="0" fontId="166" fillId="19" borderId="28" xfId="12" applyFont="1" applyFill="1" applyBorder="1" applyAlignment="1">
      <alignment horizontal="center" vertical="center" wrapText="1"/>
    </xf>
    <xf numFmtId="9" fontId="166" fillId="19" borderId="54" xfId="12" applyNumberFormat="1" applyFont="1" applyFill="1" applyBorder="1" applyAlignment="1">
      <alignment horizontal="center" vertical="center" wrapText="1"/>
    </xf>
    <xf numFmtId="0" fontId="2" fillId="0" borderId="0" xfId="12" applyBorder="1"/>
    <xf numFmtId="0" fontId="53" fillId="14" borderId="0" xfId="0" applyFont="1" applyFill="1" applyBorder="1" applyAlignment="1" applyProtection="1">
      <alignment horizontal="center" vertical="center" textRotation="90" wrapText="1"/>
    </xf>
    <xf numFmtId="0" fontId="0" fillId="0" borderId="0" xfId="0" applyFont="1" applyBorder="1" applyAlignment="1" applyProtection="1">
      <alignment horizontal="center" vertical="center"/>
    </xf>
    <xf numFmtId="0" fontId="0" fillId="0" borderId="0" xfId="0" applyAlignment="1">
      <alignment horizontal="center" vertical="center"/>
    </xf>
    <xf numFmtId="0" fontId="174" fillId="19" borderId="35" xfId="0" applyFont="1" applyFill="1" applyBorder="1" applyAlignment="1"/>
    <xf numFmtId="0" fontId="174" fillId="19" borderId="17" xfId="0" applyFont="1" applyFill="1" applyBorder="1" applyAlignment="1"/>
    <xf numFmtId="0" fontId="174" fillId="19" borderId="36" xfId="0" applyFont="1" applyFill="1" applyBorder="1" applyAlignment="1"/>
    <xf numFmtId="0" fontId="113" fillId="19" borderId="0" xfId="12" applyFont="1" applyFill="1"/>
    <xf numFmtId="0" fontId="113" fillId="19" borderId="0" xfId="12" applyFont="1" applyFill="1" applyBorder="1"/>
    <xf numFmtId="0" fontId="174" fillId="19" borderId="0" xfId="0" applyFont="1" applyFill="1" applyBorder="1" applyAlignment="1" applyProtection="1">
      <alignment horizontal="center" vertical="center"/>
    </xf>
    <xf numFmtId="0" fontId="0" fillId="0" borderId="53" xfId="0" applyBorder="1" applyAlignment="1">
      <alignment textRotation="90"/>
    </xf>
    <xf numFmtId="0" fontId="175" fillId="0" borderId="50" xfId="0" applyFont="1" applyBorder="1" applyAlignment="1">
      <alignment textRotation="46"/>
    </xf>
    <xf numFmtId="0" fontId="0" fillId="0" borderId="51" xfId="0" applyBorder="1" applyAlignment="1">
      <alignment textRotation="90"/>
    </xf>
    <xf numFmtId="0" fontId="12" fillId="9" borderId="58" xfId="0" applyFont="1" applyFill="1" applyBorder="1" applyAlignment="1">
      <alignment vertical="center"/>
    </xf>
    <xf numFmtId="0" fontId="0" fillId="18" borderId="59" xfId="0" applyFont="1" applyFill="1" applyBorder="1" applyAlignment="1" applyProtection="1">
      <alignment horizontal="center" vertical="center"/>
    </xf>
    <xf numFmtId="0" fontId="0" fillId="25" borderId="59" xfId="0" applyFont="1" applyFill="1" applyBorder="1" applyAlignment="1" applyProtection="1">
      <alignment horizontal="center" vertical="center"/>
    </xf>
    <xf numFmtId="0" fontId="0" fillId="25" borderId="60" xfId="0" applyFont="1" applyFill="1" applyBorder="1" applyAlignment="1" applyProtection="1">
      <alignment horizontal="center" vertical="center"/>
    </xf>
    <xf numFmtId="9" fontId="0" fillId="18" borderId="59" xfId="0" applyNumberFormat="1" applyFont="1" applyFill="1" applyBorder="1" applyAlignment="1" applyProtection="1">
      <alignment horizontal="center" vertical="center"/>
    </xf>
    <xf numFmtId="9" fontId="0" fillId="25" borderId="60" xfId="0" applyNumberFormat="1" applyFont="1" applyFill="1" applyBorder="1" applyAlignment="1" applyProtection="1">
      <alignment horizontal="center" vertical="center"/>
    </xf>
    <xf numFmtId="0" fontId="0" fillId="26" borderId="59" xfId="0" applyFont="1" applyFill="1" applyBorder="1" applyAlignment="1" applyProtection="1">
      <alignment horizontal="center" vertical="center"/>
    </xf>
    <xf numFmtId="9" fontId="14" fillId="26" borderId="61" xfId="0" applyNumberFormat="1" applyFont="1" applyFill="1" applyBorder="1" applyAlignment="1" applyProtection="1">
      <alignment horizontal="center" vertical="center"/>
    </xf>
    <xf numFmtId="0" fontId="11" fillId="17" borderId="62" xfId="0" applyFont="1" applyFill="1" applyBorder="1" applyAlignment="1" applyProtection="1">
      <alignment horizontal="center" vertical="center"/>
    </xf>
    <xf numFmtId="0" fontId="0" fillId="9" borderId="58" xfId="0" applyFont="1" applyFill="1" applyBorder="1" applyAlignment="1">
      <alignment vertical="center"/>
    </xf>
    <xf numFmtId="0" fontId="0" fillId="9" borderId="63" xfId="0" applyFont="1" applyFill="1" applyBorder="1" applyAlignment="1">
      <alignment vertical="center"/>
    </xf>
    <xf numFmtId="0" fontId="0" fillId="9" borderId="0" xfId="0" applyFill="1" applyBorder="1"/>
    <xf numFmtId="0" fontId="24" fillId="9" borderId="0" xfId="0" applyFont="1" applyFill="1" applyBorder="1" applyAlignment="1">
      <alignment horizontal="center"/>
    </xf>
    <xf numFmtId="0" fontId="0" fillId="9" borderId="0" xfId="0" applyFill="1" applyBorder="1" applyAlignment="1">
      <alignment horizontal="center"/>
    </xf>
    <xf numFmtId="0" fontId="5" fillId="9" borderId="0" xfId="0" applyFont="1" applyFill="1" applyBorder="1" applyAlignment="1">
      <alignment horizontal="center"/>
    </xf>
    <xf numFmtId="0" fontId="5" fillId="9" borderId="0" xfId="0" applyFont="1" applyFill="1" applyBorder="1"/>
    <xf numFmtId="0" fontId="24" fillId="9" borderId="0" xfId="0" applyFont="1" applyFill="1" applyBorder="1" applyAlignment="1">
      <alignment horizontal="left"/>
    </xf>
    <xf numFmtId="179" fontId="4" fillId="9" borderId="0" xfId="0" applyNumberFormat="1" applyFont="1" applyFill="1" applyBorder="1"/>
    <xf numFmtId="0" fontId="0" fillId="19" borderId="0" xfId="0" applyFill="1" applyBorder="1"/>
    <xf numFmtId="178" fontId="3" fillId="19" borderId="0" xfId="0" applyNumberFormat="1" applyFont="1" applyFill="1" applyBorder="1"/>
    <xf numFmtId="0" fontId="3" fillId="19" borderId="0" xfId="0" applyFont="1" applyFill="1" applyBorder="1" applyAlignment="1">
      <alignment horizontal="center"/>
    </xf>
    <xf numFmtId="0" fontId="3" fillId="19" borderId="0" xfId="0" applyFont="1" applyFill="1" applyBorder="1"/>
    <xf numFmtId="1" fontId="0" fillId="9" borderId="0" xfId="19" applyNumberFormat="1" applyFont="1" applyFill="1" applyProtection="1"/>
    <xf numFmtId="0" fontId="177" fillId="9" borderId="0" xfId="0" applyFont="1" applyFill="1" applyProtection="1"/>
    <xf numFmtId="1" fontId="0" fillId="9" borderId="0" xfId="0" applyNumberFormat="1" applyFill="1" applyAlignment="1" applyProtection="1">
      <alignment horizontal="center"/>
    </xf>
    <xf numFmtId="1" fontId="8" fillId="9" borderId="0" xfId="0" applyNumberFormat="1" applyFont="1" applyFill="1" applyAlignment="1">
      <alignment horizontal="center"/>
    </xf>
    <xf numFmtId="1" fontId="15" fillId="9" borderId="0" xfId="0" applyNumberFormat="1" applyFont="1" applyFill="1" applyAlignment="1">
      <alignment horizontal="center"/>
    </xf>
    <xf numFmtId="1" fontId="11" fillId="9" borderId="0" xfId="0" applyNumberFormat="1" applyFont="1" applyFill="1" applyAlignment="1">
      <alignment horizontal="center"/>
    </xf>
    <xf numFmtId="1" fontId="0" fillId="9" borderId="0" xfId="0" applyNumberFormat="1" applyFill="1"/>
    <xf numFmtId="9" fontId="0" fillId="0" borderId="0" xfId="19" applyFont="1" applyProtection="1">
      <protection hidden="1"/>
    </xf>
    <xf numFmtId="9" fontId="0" fillId="0" borderId="0" xfId="19" applyFont="1" applyProtection="1"/>
    <xf numFmtId="1" fontId="178" fillId="25" borderId="23" xfId="0" applyNumberFormat="1" applyFont="1" applyFill="1" applyBorder="1" applyAlignment="1" applyProtection="1">
      <alignment horizontal="centerContinuous" vertical="center" shrinkToFit="1"/>
    </xf>
    <xf numFmtId="0" fontId="179" fillId="25" borderId="24" xfId="0" applyFont="1" applyFill="1" applyBorder="1" applyAlignment="1">
      <alignment horizontal="centerContinuous" vertical="center" shrinkToFit="1"/>
    </xf>
    <xf numFmtId="0" fontId="179" fillId="25" borderId="25" xfId="0" applyFont="1" applyFill="1" applyBorder="1" applyAlignment="1">
      <alignment horizontal="centerContinuous" vertical="center" shrinkToFit="1"/>
    </xf>
    <xf numFmtId="1" fontId="0" fillId="9" borderId="0" xfId="19" applyNumberFormat="1" applyFont="1" applyFill="1" applyAlignment="1" applyProtection="1">
      <alignment horizontal="center"/>
    </xf>
    <xf numFmtId="0" fontId="53" fillId="9" borderId="0" xfId="0" applyFont="1" applyFill="1"/>
    <xf numFmtId="0" fontId="7" fillId="9" borderId="0" xfId="0" applyFont="1" applyFill="1" applyBorder="1" applyAlignment="1" applyProtection="1">
      <alignment horizontal="center" wrapText="1"/>
    </xf>
    <xf numFmtId="0" fontId="38" fillId="9" borderId="0" xfId="0" applyFont="1" applyFill="1" applyBorder="1" applyAlignment="1" applyProtection="1">
      <alignment horizontal="center"/>
    </xf>
    <xf numFmtId="0" fontId="0" fillId="9" borderId="0" xfId="0" applyFill="1" applyBorder="1" applyProtection="1"/>
    <xf numFmtId="0" fontId="0" fillId="9" borderId="0" xfId="0" applyNumberFormat="1" applyFill="1" applyBorder="1"/>
    <xf numFmtId="0" fontId="0" fillId="19" borderId="0" xfId="0" applyNumberFormat="1" applyFill="1" applyBorder="1"/>
    <xf numFmtId="178" fontId="3" fillId="19" borderId="0" xfId="0" applyNumberFormat="1" applyFont="1" applyFill="1" applyBorder="1" applyAlignment="1">
      <alignment horizontal="center"/>
    </xf>
    <xf numFmtId="0" fontId="3" fillId="19" borderId="0" xfId="0" applyNumberFormat="1" applyFont="1" applyFill="1" applyBorder="1" applyAlignment="1">
      <alignment horizontal="center"/>
    </xf>
    <xf numFmtId="0" fontId="3" fillId="19" borderId="0" xfId="0" applyNumberFormat="1" applyFont="1" applyFill="1" applyAlignment="1">
      <alignment horizontal="center"/>
    </xf>
    <xf numFmtId="1" fontId="0" fillId="19" borderId="0" xfId="19" applyNumberFormat="1" applyFont="1" applyFill="1" applyProtection="1"/>
    <xf numFmtId="180" fontId="8" fillId="19" borderId="0" xfId="0" applyNumberFormat="1" applyFont="1" applyFill="1" applyBorder="1" applyAlignment="1" applyProtection="1">
      <alignment horizontal="center"/>
    </xf>
    <xf numFmtId="180" fontId="8" fillId="19" borderId="0" xfId="0" applyNumberFormat="1" applyFont="1" applyFill="1" applyBorder="1" applyAlignment="1">
      <alignment horizontal="center"/>
    </xf>
    <xf numFmtId="0" fontId="3" fillId="0" borderId="0" xfId="0" applyFont="1" applyFill="1" applyBorder="1"/>
    <xf numFmtId="0" fontId="0" fillId="0" borderId="0" xfId="0" applyFill="1" applyBorder="1"/>
    <xf numFmtId="1" fontId="3" fillId="0" borderId="35" xfId="0" applyNumberFormat="1" applyFont="1" applyBorder="1" applyAlignment="1" applyProtection="1">
      <alignment horizontal="centerContinuous" shrinkToFit="1"/>
    </xf>
    <xf numFmtId="1" fontId="3" fillId="0" borderId="47" xfId="0" applyNumberFormat="1" applyFont="1" applyBorder="1" applyAlignment="1" applyProtection="1">
      <alignment horizontal="centerContinuous" shrinkToFit="1"/>
    </xf>
    <xf numFmtId="1" fontId="3" fillId="0" borderId="36" xfId="0" applyNumberFormat="1" applyFont="1" applyBorder="1" applyAlignment="1" applyProtection="1">
      <alignment horizontal="centerContinuous" shrinkToFit="1"/>
    </xf>
    <xf numFmtId="1" fontId="0" fillId="9" borderId="26" xfId="19" applyNumberFormat="1" applyFont="1" applyFill="1" applyBorder="1" applyAlignment="1" applyProtection="1">
      <alignment horizontal="center"/>
    </xf>
    <xf numFmtId="1" fontId="35" fillId="9" borderId="0" xfId="19" applyNumberFormat="1" applyFont="1" applyFill="1" applyAlignment="1" applyProtection="1">
      <alignment horizontal="left"/>
    </xf>
    <xf numFmtId="1" fontId="15" fillId="0" borderId="22" xfId="0" applyNumberFormat="1" applyFont="1" applyBorder="1" applyAlignment="1" applyProtection="1">
      <alignment horizontal="center"/>
    </xf>
    <xf numFmtId="0" fontId="38" fillId="9" borderId="0" xfId="0" applyFont="1" applyFill="1" applyBorder="1" applyProtection="1"/>
    <xf numFmtId="1" fontId="3" fillId="9" borderId="0" xfId="0" applyNumberFormat="1" applyFont="1" applyFill="1" applyBorder="1" applyAlignment="1" applyProtection="1">
      <alignment horizontal="left"/>
    </xf>
    <xf numFmtId="0" fontId="0" fillId="9" borderId="47" xfId="0" applyFill="1" applyBorder="1" applyAlignment="1"/>
    <xf numFmtId="1" fontId="3" fillId="0" borderId="48" xfId="0" applyNumberFormat="1" applyFont="1" applyBorder="1" applyAlignment="1" applyProtection="1">
      <alignment horizontal="centerContinuous" shrinkToFit="1"/>
    </xf>
    <xf numFmtId="1" fontId="3" fillId="0" borderId="0" xfId="0" applyNumberFormat="1" applyFont="1" applyBorder="1" applyAlignment="1" applyProtection="1">
      <alignment horizontal="centerContinuous" shrinkToFit="1"/>
    </xf>
    <xf numFmtId="1" fontId="3" fillId="0" borderId="49" xfId="0" applyNumberFormat="1" applyFont="1" applyBorder="1" applyAlignment="1" applyProtection="1">
      <alignment horizontal="centerContinuous" shrinkToFit="1"/>
    </xf>
    <xf numFmtId="1" fontId="15" fillId="0" borderId="26" xfId="0" applyNumberFormat="1" applyFont="1" applyBorder="1" applyAlignment="1" applyProtection="1">
      <alignment horizontal="center"/>
    </xf>
    <xf numFmtId="0" fontId="90" fillId="9" borderId="0" xfId="0" applyFont="1" applyFill="1" applyBorder="1" applyAlignment="1" applyProtection="1">
      <alignment shrinkToFit="1"/>
      <protection locked="0"/>
    </xf>
    <xf numFmtId="1" fontId="8" fillId="0" borderId="26" xfId="0" applyNumberFormat="1" applyFont="1" applyBorder="1" applyAlignment="1" applyProtection="1">
      <alignment horizontal="center"/>
    </xf>
    <xf numFmtId="16" fontId="94" fillId="9" borderId="0" xfId="0" quotePrefix="1" applyNumberFormat="1" applyFont="1" applyFill="1" applyBorder="1" applyAlignment="1" applyProtection="1">
      <alignment horizontal="left"/>
      <protection locked="0"/>
    </xf>
    <xf numFmtId="1" fontId="3" fillId="0" borderId="53" xfId="0" applyNumberFormat="1" applyFont="1" applyBorder="1" applyAlignment="1" applyProtection="1">
      <alignment horizontal="centerContinuous" shrinkToFit="1"/>
    </xf>
    <xf numFmtId="1" fontId="3" fillId="0" borderId="50" xfId="0" applyNumberFormat="1" applyFont="1" applyBorder="1" applyAlignment="1" applyProtection="1">
      <alignment horizontal="centerContinuous" shrinkToFit="1"/>
    </xf>
    <xf numFmtId="1" fontId="3" fillId="0" borderId="51" xfId="0" applyNumberFormat="1" applyFont="1" applyBorder="1" applyAlignment="1" applyProtection="1">
      <alignment horizontal="centerContinuous" shrinkToFit="1"/>
    </xf>
    <xf numFmtId="0" fontId="42" fillId="9" borderId="0" xfId="0" applyFont="1" applyFill="1" applyBorder="1" applyAlignment="1" applyProtection="1">
      <protection locked="0"/>
    </xf>
    <xf numFmtId="0" fontId="53" fillId="9" borderId="0" xfId="0" applyFont="1" applyFill="1" applyProtection="1">
      <protection hidden="1"/>
    </xf>
    <xf numFmtId="1" fontId="180" fillId="27" borderId="23" xfId="0" applyNumberFormat="1" applyFont="1" applyFill="1" applyBorder="1" applyAlignment="1" applyProtection="1">
      <alignment horizontal="centerContinuous" vertical="center" shrinkToFit="1"/>
    </xf>
    <xf numFmtId="0" fontId="111" fillId="27" borderId="24" xfId="0" applyFont="1" applyFill="1" applyBorder="1" applyAlignment="1">
      <alignment horizontal="centerContinuous" vertical="center" shrinkToFit="1"/>
    </xf>
    <xf numFmtId="0" fontId="111" fillId="27" borderId="25" xfId="0" applyFont="1" applyFill="1" applyBorder="1" applyAlignment="1">
      <alignment horizontal="centerContinuous" vertical="center"/>
    </xf>
    <xf numFmtId="0" fontId="2" fillId="0" borderId="0" xfId="14"/>
    <xf numFmtId="173" fontId="4" fillId="9" borderId="0" xfId="0" applyNumberFormat="1" applyFont="1" applyFill="1" applyAlignment="1" applyProtection="1">
      <alignment horizontal="right" vertical="top"/>
      <protection hidden="1"/>
    </xf>
    <xf numFmtId="1" fontId="4" fillId="9" borderId="0" xfId="0" applyNumberFormat="1" applyFont="1" applyFill="1" applyAlignment="1" applyProtection="1">
      <alignment horizontal="left" vertical="top"/>
      <protection hidden="1"/>
    </xf>
    <xf numFmtId="1" fontId="0" fillId="9" borderId="0" xfId="19" applyNumberFormat="1" applyFont="1" applyFill="1" applyAlignment="1" applyProtection="1">
      <alignment vertical="top"/>
    </xf>
    <xf numFmtId="1" fontId="0" fillId="9" borderId="0" xfId="0" applyNumberFormat="1" applyFill="1" applyAlignment="1" applyProtection="1">
      <alignment horizontal="center" vertical="top"/>
    </xf>
    <xf numFmtId="1" fontId="8" fillId="9" borderId="0" xfId="0" applyNumberFormat="1" applyFont="1" applyFill="1" applyAlignment="1">
      <alignment horizontal="center" vertical="top"/>
    </xf>
    <xf numFmtId="1" fontId="15" fillId="9" borderId="0" xfId="0" applyNumberFormat="1" applyFont="1" applyFill="1" applyAlignment="1">
      <alignment horizontal="center" vertical="top"/>
    </xf>
    <xf numFmtId="1" fontId="11" fillId="9" borderId="0" xfId="0" applyNumberFormat="1" applyFont="1" applyFill="1" applyAlignment="1">
      <alignment horizontal="center" vertical="top"/>
    </xf>
    <xf numFmtId="180" fontId="0" fillId="9" borderId="0" xfId="0" applyNumberFormat="1" applyFill="1"/>
    <xf numFmtId="1" fontId="4" fillId="9" borderId="0" xfId="0" applyNumberFormat="1" applyFont="1" applyFill="1" applyAlignment="1" applyProtection="1">
      <alignment horizontal="center" vertical="top"/>
      <protection hidden="1"/>
    </xf>
    <xf numFmtId="1" fontId="8" fillId="9" borderId="0" xfId="0" applyNumberFormat="1" applyFont="1" applyFill="1" applyAlignment="1" applyProtection="1">
      <alignment horizontal="center" vertical="top"/>
      <protection hidden="1"/>
    </xf>
    <xf numFmtId="1" fontId="0" fillId="9" borderId="27" xfId="19" applyNumberFormat="1" applyFont="1" applyFill="1" applyBorder="1" applyAlignment="1" applyProtection="1">
      <alignment horizontal="center"/>
    </xf>
    <xf numFmtId="1" fontId="0" fillId="9" borderId="0" xfId="0" applyNumberFormat="1" applyFill="1" applyAlignment="1" applyProtection="1">
      <alignment horizontal="center" vertical="top"/>
      <protection hidden="1"/>
    </xf>
    <xf numFmtId="1" fontId="0" fillId="0" borderId="0" xfId="0" applyNumberFormat="1"/>
    <xf numFmtId="1" fontId="0" fillId="19" borderId="0" xfId="0" applyNumberFormat="1" applyFill="1"/>
    <xf numFmtId="1" fontId="8" fillId="0" borderId="27" xfId="0" applyNumberFormat="1" applyFont="1" applyBorder="1" applyAlignment="1" applyProtection="1">
      <alignment horizontal="center"/>
    </xf>
    <xf numFmtId="0" fontId="89" fillId="9" borderId="0" xfId="0" applyFont="1" applyFill="1" applyAlignment="1">
      <alignment horizontal="centerContinuous" vertical="center"/>
    </xf>
    <xf numFmtId="0" fontId="0" fillId="9" borderId="0" xfId="0" applyFill="1" applyAlignment="1">
      <alignment horizontal="centerContinuous" vertical="center"/>
    </xf>
    <xf numFmtId="1" fontId="0" fillId="9" borderId="0" xfId="19" applyNumberFormat="1" applyFont="1" applyFill="1" applyBorder="1" applyAlignment="1" applyProtection="1">
      <alignment vertical="top"/>
    </xf>
    <xf numFmtId="1" fontId="0" fillId="9" borderId="0" xfId="19" applyNumberFormat="1" applyFont="1" applyFill="1" applyBorder="1" applyProtection="1"/>
    <xf numFmtId="0" fontId="53" fillId="9" borderId="0" xfId="0" applyFont="1" applyFill="1" applyBorder="1"/>
    <xf numFmtId="0" fontId="53" fillId="9" borderId="0" xfId="0" applyFont="1" applyFill="1" applyBorder="1" applyAlignment="1" applyProtection="1">
      <alignment horizontal="center" vertical="top"/>
    </xf>
    <xf numFmtId="0" fontId="0" fillId="9" borderId="0" xfId="0" applyFill="1" applyBorder="1" applyAlignment="1" applyProtection="1">
      <alignment vertical="top"/>
    </xf>
    <xf numFmtId="0" fontId="0" fillId="9" borderId="0" xfId="0" applyFill="1" applyBorder="1" applyAlignment="1" applyProtection="1">
      <alignment horizontal="center"/>
    </xf>
    <xf numFmtId="1" fontId="0" fillId="19" borderId="0" xfId="19" applyNumberFormat="1" applyFont="1" applyFill="1" applyBorder="1" applyProtection="1"/>
    <xf numFmtId="9" fontId="0" fillId="9" borderId="0" xfId="19" applyFont="1" applyFill="1" applyBorder="1" applyProtection="1"/>
    <xf numFmtId="1" fontId="0" fillId="9" borderId="26" xfId="19" applyNumberFormat="1" applyFont="1" applyFill="1" applyBorder="1" applyAlignment="1" applyProtection="1">
      <alignment vertical="top"/>
    </xf>
    <xf numFmtId="0" fontId="45" fillId="19" borderId="36" xfId="0" applyFont="1" applyFill="1" applyBorder="1" applyAlignment="1" applyProtection="1">
      <alignment horizontal="center" vertical="center"/>
    </xf>
    <xf numFmtId="1" fontId="70" fillId="11" borderId="35" xfId="19" applyNumberFormat="1" applyFont="1" applyFill="1" applyBorder="1" applyAlignment="1" applyProtection="1">
      <alignment horizontal="center" vertical="center" wrapText="1"/>
    </xf>
    <xf numFmtId="1" fontId="70" fillId="19" borderId="35" xfId="19" applyNumberFormat="1" applyFont="1" applyFill="1" applyBorder="1" applyAlignment="1" applyProtection="1">
      <alignment horizontal="center" vertical="center" wrapText="1"/>
    </xf>
    <xf numFmtId="1" fontId="56" fillId="19" borderId="35" xfId="0" applyNumberFormat="1" applyFont="1" applyFill="1" applyBorder="1" applyAlignment="1" applyProtection="1">
      <alignment horizontal="center" vertical="center" wrapText="1"/>
    </xf>
    <xf numFmtId="1" fontId="14" fillId="19" borderId="35" xfId="0" applyNumberFormat="1" applyFont="1" applyFill="1" applyBorder="1" applyAlignment="1" applyProtection="1">
      <alignment horizontal="center" vertical="center" wrapText="1"/>
    </xf>
    <xf numFmtId="1" fontId="14" fillId="0" borderId="47" xfId="0" applyNumberFormat="1" applyFont="1" applyFill="1" applyBorder="1" applyAlignment="1" applyProtection="1">
      <alignment horizontal="center" vertical="center" wrapText="1"/>
    </xf>
    <xf numFmtId="1" fontId="70" fillId="18" borderId="35" xfId="0" applyNumberFormat="1" applyFont="1" applyFill="1" applyBorder="1" applyAlignment="1" applyProtection="1">
      <alignment horizontal="center" vertical="center" wrapText="1"/>
    </xf>
    <xf numFmtId="1" fontId="70" fillId="15" borderId="35" xfId="0" applyNumberFormat="1" applyFont="1" applyFill="1" applyBorder="1" applyAlignment="1" applyProtection="1">
      <alignment horizontal="center" vertical="center" wrapText="1"/>
    </xf>
    <xf numFmtId="9" fontId="70" fillId="28" borderId="35" xfId="19" applyFont="1" applyFill="1" applyBorder="1" applyAlignment="1" applyProtection="1">
      <alignment horizontal="center" vertical="center" wrapText="1"/>
      <protection hidden="1"/>
    </xf>
    <xf numFmtId="9" fontId="70" fillId="11" borderId="47" xfId="19" applyFont="1" applyFill="1" applyBorder="1" applyAlignment="1" applyProtection="1">
      <alignment horizontal="center" vertical="center" wrapText="1"/>
    </xf>
    <xf numFmtId="1" fontId="70" fillId="14" borderId="35" xfId="0" applyNumberFormat="1" applyFont="1" applyFill="1" applyBorder="1" applyAlignment="1" applyProtection="1">
      <alignment horizontal="center" vertical="center" wrapText="1"/>
    </xf>
    <xf numFmtId="1" fontId="181" fillId="12" borderId="35" xfId="0" applyNumberFormat="1" applyFont="1" applyFill="1" applyBorder="1" applyAlignment="1" applyProtection="1">
      <alignment horizontal="center" vertical="center" wrapText="1"/>
    </xf>
    <xf numFmtId="1" fontId="182" fillId="12" borderId="35" xfId="0" applyNumberFormat="1" applyFont="1" applyFill="1" applyBorder="1" applyAlignment="1" applyProtection="1">
      <alignment horizontal="center" vertical="center" wrapText="1"/>
    </xf>
    <xf numFmtId="1" fontId="183" fillId="12" borderId="22" xfId="0" applyNumberFormat="1" applyFont="1" applyFill="1" applyBorder="1" applyAlignment="1" applyProtection="1">
      <alignment horizontal="center" vertical="center" wrapText="1"/>
    </xf>
    <xf numFmtId="9" fontId="11" fillId="9" borderId="27" xfId="19" applyFont="1" applyFill="1" applyBorder="1" applyAlignment="1" applyProtection="1">
      <alignment horizontal="center" vertical="top" textRotation="90" wrapText="1"/>
    </xf>
    <xf numFmtId="0" fontId="41" fillId="0" borderId="27" xfId="20" applyFont="1" applyBorder="1" applyAlignment="1" applyProtection="1">
      <alignment horizontal="center" vertical="center" wrapText="1" shrinkToFit="1"/>
      <protection hidden="1"/>
    </xf>
    <xf numFmtId="1" fontId="11" fillId="11" borderId="26" xfId="19" applyNumberFormat="1" applyFont="1" applyFill="1" applyBorder="1" applyAlignment="1" applyProtection="1">
      <alignment horizontal="center" vertical="center" textRotation="90" wrapText="1"/>
    </xf>
    <xf numFmtId="1" fontId="11" fillId="9" borderId="27" xfId="19" applyNumberFormat="1" applyFont="1" applyFill="1" applyBorder="1" applyAlignment="1" applyProtection="1">
      <alignment horizontal="center" vertical="center" textRotation="90" wrapText="1"/>
    </xf>
    <xf numFmtId="1" fontId="25" fillId="0" borderId="27" xfId="0" applyNumberFormat="1" applyFont="1" applyFill="1" applyBorder="1" applyAlignment="1" applyProtection="1">
      <alignment horizontal="center" vertical="center" textRotation="90" wrapText="1"/>
    </xf>
    <xf numFmtId="1" fontId="3" fillId="0" borderId="27" xfId="0" applyNumberFormat="1" applyFont="1" applyFill="1" applyBorder="1" applyAlignment="1" applyProtection="1">
      <alignment horizontal="center" vertical="center" textRotation="90" wrapText="1"/>
    </xf>
    <xf numFmtId="1" fontId="11" fillId="18" borderId="27" xfId="0" applyNumberFormat="1" applyFont="1" applyFill="1" applyBorder="1" applyAlignment="1" applyProtection="1">
      <alignment horizontal="center" vertical="center" textRotation="90" wrapText="1"/>
    </xf>
    <xf numFmtId="1" fontId="11" fillId="15" borderId="53" xfId="0" applyNumberFormat="1" applyFont="1" applyFill="1" applyBorder="1" applyAlignment="1" applyProtection="1">
      <alignment horizontal="center" vertical="center" textRotation="90" wrapText="1"/>
    </xf>
    <xf numFmtId="9" fontId="11" fillId="28" borderId="27" xfId="19" applyFont="1" applyFill="1" applyBorder="1" applyAlignment="1" applyProtection="1">
      <alignment horizontal="center" vertical="center" textRotation="90" wrapText="1"/>
      <protection hidden="1"/>
    </xf>
    <xf numFmtId="9" fontId="11" fillId="11" borderId="0" xfId="19" applyFont="1" applyFill="1" applyBorder="1" applyAlignment="1" applyProtection="1">
      <alignment horizontal="center" vertical="center" textRotation="90" wrapText="1"/>
    </xf>
    <xf numFmtId="1" fontId="11" fillId="14" borderId="27" xfId="0" applyNumberFormat="1" applyFont="1" applyFill="1" applyBorder="1" applyAlignment="1" applyProtection="1">
      <alignment horizontal="center" vertical="center" textRotation="90" wrapText="1"/>
    </xf>
    <xf numFmtId="1" fontId="57" fillId="12" borderId="27" xfId="0" applyNumberFormat="1" applyFont="1" applyFill="1" applyBorder="1" applyAlignment="1" applyProtection="1">
      <alignment horizontal="center" vertical="center" textRotation="90" wrapText="1"/>
    </xf>
    <xf numFmtId="1" fontId="51" fillId="12" borderId="27" xfId="0" applyNumberFormat="1" applyFont="1" applyFill="1" applyBorder="1" applyAlignment="1" applyProtection="1">
      <alignment horizontal="center" vertical="center" textRotation="90" wrapText="1"/>
    </xf>
    <xf numFmtId="1" fontId="179" fillId="12" borderId="27" xfId="0" applyNumberFormat="1" applyFont="1" applyFill="1" applyBorder="1" applyAlignment="1" applyProtection="1">
      <alignment horizontal="center" vertical="center" textRotation="90" wrapText="1"/>
    </xf>
    <xf numFmtId="1" fontId="11" fillId="9" borderId="0" xfId="0" applyNumberFormat="1" applyFont="1" applyFill="1" applyBorder="1" applyAlignment="1" applyProtection="1">
      <alignment horizontal="center" vertical="center" textRotation="90" wrapText="1"/>
    </xf>
    <xf numFmtId="0" fontId="15" fillId="9" borderId="0" xfId="0" applyFont="1" applyFill="1" applyBorder="1" applyAlignment="1">
      <alignment horizontal="center" textRotation="90"/>
    </xf>
    <xf numFmtId="0" fontId="20" fillId="9" borderId="0" xfId="0" applyFont="1" applyFill="1" applyAlignment="1" applyProtection="1">
      <alignment horizontal="center"/>
    </xf>
    <xf numFmtId="0" fontId="25" fillId="9" borderId="0" xfId="0" applyFont="1" applyFill="1" applyBorder="1" applyAlignment="1" applyProtection="1">
      <alignment horizontal="center" wrapText="1"/>
      <protection locked="0"/>
    </xf>
    <xf numFmtId="0" fontId="184" fillId="9" borderId="0" xfId="0" applyFont="1" applyFill="1" applyBorder="1" applyProtection="1">
      <protection locked="0"/>
    </xf>
    <xf numFmtId="0" fontId="73" fillId="9" borderId="0" xfId="0" applyFont="1" applyFill="1" applyBorder="1" applyProtection="1">
      <protection locked="0"/>
    </xf>
    <xf numFmtId="0" fontId="0" fillId="9" borderId="0" xfId="0" applyNumberFormat="1" applyFill="1" applyBorder="1" applyProtection="1"/>
    <xf numFmtId="0" fontId="111" fillId="9" borderId="0" xfId="0" applyNumberFormat="1" applyFont="1" applyFill="1" applyBorder="1" applyAlignment="1" applyProtection="1">
      <alignment horizontal="right" textRotation="255"/>
    </xf>
    <xf numFmtId="0" fontId="185" fillId="9" borderId="0" xfId="0" applyNumberFormat="1" applyFont="1" applyFill="1" applyBorder="1" applyProtection="1"/>
    <xf numFmtId="0" fontId="186" fillId="9" borderId="64" xfId="0" applyFont="1" applyFill="1" applyBorder="1" applyAlignment="1" applyProtection="1">
      <alignment horizontal="center"/>
      <protection locked="0"/>
    </xf>
    <xf numFmtId="0" fontId="186" fillId="9" borderId="65" xfId="0" applyFont="1" applyFill="1" applyBorder="1" applyAlignment="1" applyProtection="1">
      <alignment horizontal="center"/>
      <protection locked="0"/>
    </xf>
    <xf numFmtId="0" fontId="42" fillId="9" borderId="50" xfId="0" applyFont="1" applyFill="1" applyBorder="1" applyAlignment="1" applyProtection="1">
      <alignment horizontal="center" textRotation="90" shrinkToFit="1"/>
      <protection locked="0"/>
    </xf>
    <xf numFmtId="0" fontId="187" fillId="29" borderId="66" xfId="0" applyFont="1" applyFill="1" applyBorder="1" applyAlignment="1">
      <alignment horizontal="center" wrapText="1"/>
    </xf>
    <xf numFmtId="180" fontId="11" fillId="18" borderId="28" xfId="0" applyNumberFormat="1" applyFont="1" applyFill="1" applyBorder="1" applyAlignment="1" applyProtection="1">
      <alignment horizontal="center" textRotation="90" wrapText="1"/>
    </xf>
    <xf numFmtId="180" fontId="11" fillId="0" borderId="28" xfId="0" applyNumberFormat="1" applyFont="1" applyFill="1" applyBorder="1" applyAlignment="1" applyProtection="1">
      <alignment horizontal="center" textRotation="90" wrapText="1"/>
    </xf>
    <xf numFmtId="1" fontId="11" fillId="11" borderId="28" xfId="19" applyNumberFormat="1" applyFont="1" applyFill="1" applyBorder="1" applyAlignment="1" applyProtection="1">
      <alignment horizontal="center" textRotation="90" wrapText="1"/>
    </xf>
    <xf numFmtId="9" fontId="11" fillId="0" borderId="0" xfId="19" applyFont="1" applyFill="1" applyBorder="1" applyAlignment="1" applyProtection="1">
      <alignment horizontal="center" textRotation="90" wrapText="1"/>
    </xf>
    <xf numFmtId="1" fontId="11" fillId="11" borderId="22" xfId="19" applyNumberFormat="1" applyFont="1" applyFill="1" applyBorder="1" applyAlignment="1" applyProtection="1">
      <alignment horizontal="center" textRotation="90" wrapText="1"/>
    </xf>
    <xf numFmtId="1" fontId="11" fillId="0" borderId="0" xfId="19" applyNumberFormat="1" applyFont="1" applyFill="1" applyBorder="1" applyAlignment="1" applyProtection="1">
      <alignment horizontal="center" vertical="center" textRotation="90" wrapText="1"/>
    </xf>
    <xf numFmtId="0" fontId="11" fillId="0" borderId="0" xfId="0" applyFont="1" applyFill="1" applyBorder="1" applyAlignment="1" applyProtection="1">
      <alignment textRotation="90" wrapText="1"/>
    </xf>
    <xf numFmtId="1" fontId="4" fillId="9" borderId="0" xfId="19" applyNumberFormat="1" applyFont="1" applyFill="1" applyBorder="1" applyAlignment="1" applyProtection="1">
      <alignment horizontal="center"/>
    </xf>
    <xf numFmtId="1" fontId="25" fillId="0" borderId="28" xfId="0" applyNumberFormat="1" applyFont="1" applyBorder="1" applyAlignment="1" applyProtection="1">
      <alignment horizontal="center" vertical="center"/>
    </xf>
    <xf numFmtId="1" fontId="4" fillId="0" borderId="28" xfId="0" applyNumberFormat="1" applyFont="1" applyBorder="1" applyAlignment="1" applyProtection="1">
      <alignment horizontal="center" vertical="center"/>
      <protection locked="0"/>
    </xf>
    <xf numFmtId="1" fontId="3" fillId="0" borderId="28" xfId="0" applyNumberFormat="1" applyFont="1" applyBorder="1" applyAlignment="1" applyProtection="1">
      <alignment horizontal="center" vertical="center"/>
      <protection locked="0"/>
    </xf>
    <xf numFmtId="1" fontId="4" fillId="18" borderId="28" xfId="0" applyNumberFormat="1" applyFont="1" applyFill="1" applyBorder="1" applyAlignment="1">
      <alignment horizontal="center"/>
    </xf>
    <xf numFmtId="9" fontId="135" fillId="30" borderId="28" xfId="19" applyFont="1" applyFill="1" applyBorder="1" applyAlignment="1" applyProtection="1">
      <alignment horizontal="center"/>
      <protection hidden="1"/>
    </xf>
    <xf numFmtId="9" fontId="4" fillId="11" borderId="0" xfId="19" applyFont="1" applyFill="1" applyBorder="1" applyAlignment="1" applyProtection="1">
      <alignment horizontal="center"/>
    </xf>
    <xf numFmtId="1" fontId="26" fillId="12" borderId="67" xfId="0" applyNumberFormat="1" applyFont="1" applyFill="1" applyBorder="1" applyAlignment="1" applyProtection="1">
      <alignment horizontal="center"/>
    </xf>
    <xf numFmtId="1" fontId="34" fillId="12" borderId="68" xfId="0" applyNumberFormat="1" applyFont="1" applyFill="1" applyBorder="1" applyAlignment="1" applyProtection="1">
      <alignment horizontal="center"/>
    </xf>
    <xf numFmtId="1" fontId="188" fillId="12" borderId="68" xfId="0" applyNumberFormat="1" applyFont="1" applyFill="1" applyBorder="1" applyAlignment="1" applyProtection="1">
      <alignment horizontal="center"/>
    </xf>
    <xf numFmtId="1" fontId="189" fillId="9" borderId="0" xfId="0" applyNumberFormat="1" applyFont="1" applyFill="1" applyBorder="1" applyAlignment="1" applyProtection="1">
      <alignment horizontal="center" vertical="center" textRotation="90" wrapText="1"/>
    </xf>
    <xf numFmtId="173" fontId="43" fillId="9" borderId="0" xfId="19" applyNumberFormat="1" applyFont="1" applyFill="1" applyBorder="1" applyAlignment="1" applyProtection="1">
      <alignment horizontal="center"/>
    </xf>
    <xf numFmtId="14" fontId="22" fillId="0" borderId="28" xfId="0" applyNumberFormat="1" applyFont="1" applyFill="1" applyBorder="1" applyAlignment="1">
      <alignment shrinkToFit="1"/>
    </xf>
    <xf numFmtId="177" fontId="22" fillId="0" borderId="28" xfId="0" applyNumberFormat="1" applyFont="1" applyFill="1" applyBorder="1" applyAlignment="1">
      <alignment horizontal="center"/>
    </xf>
    <xf numFmtId="0" fontId="4" fillId="9" borderId="0" xfId="0" applyNumberFormat="1" applyFont="1" applyFill="1" applyBorder="1" applyProtection="1"/>
    <xf numFmtId="0" fontId="4" fillId="9" borderId="69" xfId="0" applyNumberFormat="1" applyFont="1" applyFill="1" applyBorder="1" applyAlignment="1" applyProtection="1">
      <alignment horizontal="center" shrinkToFit="1"/>
    </xf>
    <xf numFmtId="2" fontId="0" fillId="9" borderId="0" xfId="0" applyNumberFormat="1" applyFill="1" applyBorder="1" applyAlignment="1" applyProtection="1">
      <alignment horizontal="center"/>
    </xf>
    <xf numFmtId="1" fontId="0" fillId="19" borderId="0" xfId="0" applyNumberFormat="1" applyFill="1" applyBorder="1"/>
    <xf numFmtId="0" fontId="190" fillId="31" borderId="66" xfId="0" applyFont="1" applyFill="1" applyBorder="1" applyAlignment="1">
      <alignment horizontal="center" wrapText="1"/>
    </xf>
    <xf numFmtId="0" fontId="191" fillId="31" borderId="66" xfId="20" applyFont="1" applyFill="1" applyBorder="1" applyAlignment="1" applyProtection="1">
      <alignment horizontal="left" wrapText="1"/>
    </xf>
    <xf numFmtId="0" fontId="190" fillId="31" borderId="66" xfId="0" applyFont="1" applyFill="1" applyBorder="1" applyAlignment="1">
      <alignment horizontal="left" wrapText="1"/>
    </xf>
    <xf numFmtId="0" fontId="190" fillId="31" borderId="66" xfId="0" applyFont="1" applyFill="1" applyBorder="1" applyAlignment="1">
      <alignment horizontal="right" wrapText="1"/>
    </xf>
    <xf numFmtId="0" fontId="3" fillId="0" borderId="0" xfId="0" applyFont="1"/>
    <xf numFmtId="180" fontId="0" fillId="19" borderId="0" xfId="0" applyNumberFormat="1" applyFill="1" applyBorder="1"/>
    <xf numFmtId="180" fontId="0" fillId="0" borderId="0" xfId="0" applyNumberFormat="1" applyFill="1" applyBorder="1"/>
    <xf numFmtId="180" fontId="4" fillId="18" borderId="28" xfId="0" applyNumberFormat="1" applyFont="1" applyFill="1" applyBorder="1" applyAlignment="1">
      <alignment horizontal="center"/>
    </xf>
    <xf numFmtId="180" fontId="4" fillId="0" borderId="28" xfId="0" applyNumberFormat="1" applyFont="1" applyFill="1" applyBorder="1" applyAlignment="1">
      <alignment horizontal="center"/>
    </xf>
    <xf numFmtId="0" fontId="4" fillId="11" borderId="28" xfId="0" applyFont="1" applyFill="1" applyBorder="1" applyAlignment="1" applyProtection="1">
      <alignment horizontal="center"/>
    </xf>
    <xf numFmtId="1" fontId="3" fillId="11" borderId="28" xfId="19" applyNumberFormat="1" applyFont="1" applyFill="1" applyBorder="1" applyAlignment="1" applyProtection="1">
      <alignment horizontal="center"/>
    </xf>
    <xf numFmtId="0" fontId="8" fillId="32" borderId="28" xfId="5" applyFont="1" applyFill="1" applyBorder="1" applyAlignment="1" applyProtection="1">
      <alignment horizontal="center" vertical="center" wrapText="1"/>
      <protection hidden="1"/>
    </xf>
    <xf numFmtId="0" fontId="192" fillId="32" borderId="28" xfId="5" applyFont="1" applyFill="1" applyBorder="1" applyAlignment="1" applyProtection="1">
      <alignment horizontal="center" vertical="center" wrapText="1"/>
      <protection hidden="1"/>
    </xf>
    <xf numFmtId="1" fontId="3" fillId="11" borderId="23" xfId="19" applyNumberFormat="1" applyFont="1" applyFill="1" applyBorder="1" applyAlignment="1" applyProtection="1">
      <alignment horizontal="center"/>
    </xf>
    <xf numFmtId="1" fontId="3" fillId="0" borderId="0" xfId="19" applyNumberFormat="1" applyFont="1" applyFill="1" applyBorder="1" applyAlignment="1" applyProtection="1">
      <alignment horizontal="center"/>
    </xf>
    <xf numFmtId="173" fontId="4" fillId="11" borderId="0" xfId="19" applyNumberFormat="1" applyFont="1" applyFill="1" applyBorder="1" applyAlignment="1" applyProtection="1">
      <alignment horizontal="center"/>
    </xf>
    <xf numFmtId="1" fontId="188" fillId="12" borderId="30" xfId="0" applyNumberFormat="1" applyFont="1" applyFill="1" applyBorder="1" applyAlignment="1" applyProtection="1">
      <alignment horizontal="center"/>
    </xf>
    <xf numFmtId="0" fontId="190" fillId="33" borderId="66" xfId="0" applyFont="1" applyFill="1" applyBorder="1" applyAlignment="1">
      <alignment horizontal="center" wrapText="1"/>
    </xf>
    <xf numFmtId="0" fontId="191" fillId="33" borderId="66" xfId="20" applyFont="1" applyFill="1" applyBorder="1" applyAlignment="1" applyProtection="1">
      <alignment horizontal="left" wrapText="1"/>
    </xf>
    <xf numFmtId="0" fontId="190" fillId="33" borderId="66" xfId="0" applyFont="1" applyFill="1" applyBorder="1" applyAlignment="1">
      <alignment horizontal="left" wrapText="1"/>
    </xf>
    <xf numFmtId="0" fontId="190" fillId="33" borderId="66" xfId="0" applyFont="1" applyFill="1" applyBorder="1" applyAlignment="1">
      <alignment horizontal="right" wrapText="1"/>
    </xf>
    <xf numFmtId="0" fontId="8" fillId="9" borderId="0" xfId="0" applyFont="1" applyFill="1" applyBorder="1" applyProtection="1"/>
    <xf numFmtId="0" fontId="193" fillId="19" borderId="47" xfId="0" applyFont="1" applyFill="1" applyBorder="1" applyAlignment="1">
      <alignment horizontal="left" vertical="center" wrapText="1"/>
    </xf>
    <xf numFmtId="0" fontId="8" fillId="9" borderId="0" xfId="0" applyFont="1" applyFill="1" applyBorder="1" applyAlignment="1">
      <alignment horizontal="center"/>
    </xf>
    <xf numFmtId="0" fontId="90" fillId="9" borderId="0" xfId="0" applyFont="1" applyFill="1" applyBorder="1" applyAlignment="1">
      <alignment horizontal="center"/>
    </xf>
    <xf numFmtId="0" fontId="73" fillId="9" borderId="0" xfId="0" applyFont="1" applyFill="1" applyBorder="1" applyAlignment="1" applyProtection="1">
      <alignment horizontal="center"/>
      <protection locked="0"/>
    </xf>
    <xf numFmtId="0" fontId="25" fillId="9" borderId="0" xfId="0" applyFont="1" applyFill="1" applyBorder="1" applyAlignment="1" applyProtection="1">
      <alignment horizontal="left"/>
    </xf>
    <xf numFmtId="1" fontId="8" fillId="18" borderId="0" xfId="19" applyNumberFormat="1" applyFont="1" applyFill="1" applyBorder="1" applyAlignment="1" applyProtection="1">
      <alignment horizontal="center"/>
    </xf>
    <xf numFmtId="180" fontId="8" fillId="18" borderId="0" xfId="0" applyNumberFormat="1" applyFont="1" applyFill="1" applyBorder="1" applyAlignment="1" applyProtection="1">
      <alignment horizontal="center"/>
    </xf>
    <xf numFmtId="0" fontId="8" fillId="34" borderId="28" xfId="5" applyFont="1" applyFill="1" applyBorder="1" applyAlignment="1" applyProtection="1">
      <alignment horizontal="center" vertical="center" wrapText="1"/>
      <protection hidden="1"/>
    </xf>
    <xf numFmtId="1" fontId="38" fillId="9" borderId="0" xfId="0" applyNumberFormat="1" applyFont="1" applyFill="1" applyBorder="1" applyAlignment="1" applyProtection="1">
      <alignment horizontal="left"/>
    </xf>
    <xf numFmtId="0" fontId="174" fillId="9" borderId="0" xfId="0" applyNumberFormat="1" applyFont="1" applyFill="1" applyBorder="1" applyProtection="1"/>
    <xf numFmtId="1" fontId="8" fillId="18" borderId="0" xfId="0" applyNumberFormat="1" applyFont="1" applyFill="1" applyBorder="1" applyAlignment="1" applyProtection="1">
      <alignment horizontal="center"/>
    </xf>
    <xf numFmtId="0" fontId="196" fillId="9" borderId="0" xfId="0" applyFont="1" applyFill="1" applyBorder="1" applyAlignment="1" applyProtection="1">
      <alignment horizontal="left"/>
    </xf>
    <xf numFmtId="0" fontId="8" fillId="9" borderId="0" xfId="0" applyFont="1" applyFill="1" applyBorder="1" applyAlignment="1" applyProtection="1">
      <alignment horizontal="center"/>
    </xf>
    <xf numFmtId="0" fontId="11" fillId="9" borderId="0" xfId="0" applyFont="1" applyFill="1"/>
    <xf numFmtId="0" fontId="53" fillId="9" borderId="0" xfId="0" applyFont="1" applyFill="1" applyBorder="1" applyAlignment="1" applyProtection="1">
      <alignment horizontal="center"/>
    </xf>
    <xf numFmtId="2" fontId="40" fillId="9" borderId="0" xfId="0" applyNumberFormat="1" applyFont="1" applyFill="1" applyBorder="1" applyAlignment="1"/>
    <xf numFmtId="1" fontId="92" fillId="11" borderId="35" xfId="0" applyNumberFormat="1" applyFont="1" applyFill="1" applyBorder="1"/>
    <xf numFmtId="0" fontId="48" fillId="11" borderId="47" xfId="0" applyFont="1" applyFill="1" applyBorder="1"/>
    <xf numFmtId="0" fontId="197" fillId="11" borderId="47" xfId="0" applyFont="1" applyFill="1" applyBorder="1"/>
    <xf numFmtId="0" fontId="197" fillId="11" borderId="47" xfId="0" applyFont="1" applyFill="1" applyBorder="1" applyProtection="1"/>
    <xf numFmtId="0" fontId="197" fillId="11" borderId="36" xfId="0" applyFont="1" applyFill="1" applyBorder="1" applyProtection="1"/>
    <xf numFmtId="0" fontId="92" fillId="11" borderId="48" xfId="0" applyFont="1" applyFill="1" applyBorder="1"/>
    <xf numFmtId="0" fontId="48" fillId="11" borderId="0" xfId="0" applyFont="1" applyFill="1" applyBorder="1"/>
    <xf numFmtId="0" fontId="197" fillId="11" borderId="0" xfId="0" applyFont="1" applyFill="1" applyBorder="1"/>
    <xf numFmtId="0" fontId="197" fillId="11" borderId="0" xfId="0" applyFont="1" applyFill="1" applyBorder="1" applyProtection="1"/>
    <xf numFmtId="0" fontId="197" fillId="11" borderId="49" xfId="0" applyFont="1" applyFill="1" applyBorder="1" applyProtection="1"/>
    <xf numFmtId="0" fontId="92" fillId="11" borderId="53" xfId="0" applyFont="1" applyFill="1" applyBorder="1"/>
    <xf numFmtId="0" fontId="48" fillId="11" borderId="50" xfId="0" applyFont="1" applyFill="1" applyBorder="1"/>
    <xf numFmtId="0" fontId="197" fillId="11" borderId="50" xfId="0" applyFont="1" applyFill="1" applyBorder="1"/>
    <xf numFmtId="0" fontId="197" fillId="11" borderId="50" xfId="0" applyFont="1" applyFill="1" applyBorder="1" applyProtection="1"/>
    <xf numFmtId="0" fontId="197" fillId="11" borderId="51" xfId="0" applyFont="1" applyFill="1" applyBorder="1" applyProtection="1"/>
    <xf numFmtId="0" fontId="4" fillId="4" borderId="25" xfId="0" applyFont="1" applyFill="1" applyBorder="1" applyAlignment="1" applyProtection="1">
      <alignment horizontal="center"/>
    </xf>
    <xf numFmtId="9" fontId="4" fillId="11" borderId="50" xfId="19" applyFont="1" applyFill="1" applyBorder="1" applyAlignment="1" applyProtection="1">
      <alignment horizontal="center"/>
    </xf>
    <xf numFmtId="177" fontId="197" fillId="11" borderId="0" xfId="0" applyNumberFormat="1" applyFont="1" applyFill="1" applyBorder="1" applyAlignment="1">
      <alignment horizontal="left"/>
    </xf>
    <xf numFmtId="0" fontId="92" fillId="11" borderId="50" xfId="0" applyFont="1" applyFill="1" applyBorder="1"/>
    <xf numFmtId="0" fontId="92" fillId="11" borderId="51" xfId="0" applyFont="1" applyFill="1" applyBorder="1"/>
    <xf numFmtId="14" fontId="4" fillId="9" borderId="0" xfId="0" quotePrefix="1" applyNumberFormat="1" applyFont="1" applyFill="1" applyBorder="1" applyAlignment="1" applyProtection="1">
      <alignment horizontal="center"/>
    </xf>
    <xf numFmtId="0" fontId="46" fillId="9" borderId="0" xfId="0" applyFont="1" applyFill="1" applyBorder="1" applyAlignment="1">
      <alignment horizontal="center"/>
    </xf>
    <xf numFmtId="0" fontId="4" fillId="9" borderId="0" xfId="0" applyFont="1" applyFill="1"/>
    <xf numFmtId="1" fontId="26" fillId="12" borderId="70" xfId="0" applyNumberFormat="1" applyFont="1" applyFill="1" applyBorder="1" applyAlignment="1" applyProtection="1">
      <alignment horizontal="center"/>
    </xf>
    <xf numFmtId="1" fontId="34" fillId="12" borderId="71" xfId="0" applyNumberFormat="1" applyFont="1" applyFill="1" applyBorder="1" applyAlignment="1" applyProtection="1">
      <alignment horizontal="center"/>
    </xf>
    <xf numFmtId="1" fontId="188" fillId="12" borderId="71" xfId="0" applyNumberFormat="1" applyFont="1" applyFill="1" applyBorder="1" applyAlignment="1" applyProtection="1">
      <alignment horizontal="center"/>
    </xf>
    <xf numFmtId="0" fontId="20" fillId="9" borderId="0" xfId="0" applyFont="1" applyFill="1" applyAlignment="1" applyProtection="1">
      <alignment horizontal="centerContinuous"/>
    </xf>
    <xf numFmtId="0" fontId="0" fillId="9" borderId="0" xfId="0" applyFill="1" applyBorder="1" applyAlignment="1">
      <alignment horizontal="centerContinuous"/>
    </xf>
    <xf numFmtId="0" fontId="46" fillId="9" borderId="50" xfId="0" applyFont="1" applyFill="1" applyBorder="1" applyAlignment="1">
      <alignment horizontal="center"/>
    </xf>
    <xf numFmtId="0" fontId="46" fillId="9" borderId="50" xfId="0" applyFont="1" applyFill="1" applyBorder="1" applyAlignment="1">
      <alignment horizontal="center" shrinkToFit="1"/>
    </xf>
    <xf numFmtId="0" fontId="46" fillId="9" borderId="50" xfId="0" applyFont="1" applyFill="1" applyBorder="1"/>
    <xf numFmtId="0" fontId="4" fillId="9" borderId="0" xfId="0" applyFont="1" applyFill="1" applyBorder="1"/>
    <xf numFmtId="0" fontId="46" fillId="9" borderId="50" xfId="0" applyFont="1" applyFill="1" applyBorder="1" applyAlignment="1">
      <alignment horizontal="centerContinuous" shrinkToFit="1"/>
    </xf>
    <xf numFmtId="0" fontId="36" fillId="9" borderId="50" xfId="0" applyFont="1" applyFill="1" applyBorder="1" applyAlignment="1">
      <alignment horizontal="centerContinuous"/>
    </xf>
    <xf numFmtId="0" fontId="8" fillId="19" borderId="0" xfId="0" applyFont="1" applyFill="1" applyBorder="1" applyAlignment="1">
      <alignment horizontal="center"/>
    </xf>
    <xf numFmtId="0" fontId="0" fillId="18" borderId="28" xfId="0" applyFill="1" applyBorder="1" applyAlignment="1">
      <alignment horizontal="center"/>
    </xf>
    <xf numFmtId="1" fontId="0" fillId="18" borderId="28" xfId="0" applyNumberFormat="1" applyFill="1" applyBorder="1" applyAlignment="1">
      <alignment horizontal="center"/>
    </xf>
    <xf numFmtId="1" fontId="0" fillId="18" borderId="23" xfId="0" applyNumberFormat="1" applyFill="1" applyBorder="1" applyAlignment="1">
      <alignment horizontal="center"/>
    </xf>
    <xf numFmtId="1" fontId="3" fillId="0" borderId="46" xfId="0" applyNumberFormat="1" applyFont="1" applyFill="1" applyBorder="1" applyAlignment="1">
      <alignment horizontal="center"/>
    </xf>
    <xf numFmtId="1" fontId="0" fillId="19" borderId="28" xfId="0" applyNumberFormat="1" applyFill="1" applyBorder="1" applyAlignment="1">
      <alignment horizontal="center"/>
    </xf>
    <xf numFmtId="0" fontId="8" fillId="19" borderId="0" xfId="0" applyFont="1" applyFill="1" applyBorder="1"/>
    <xf numFmtId="180" fontId="8" fillId="19" borderId="0" xfId="0" applyNumberFormat="1" applyFont="1" applyFill="1" applyBorder="1"/>
    <xf numFmtId="1" fontId="3" fillId="11" borderId="22" xfId="19" applyNumberFormat="1" applyFont="1" applyFill="1" applyBorder="1" applyAlignment="1" applyProtection="1">
      <alignment horizontal="center"/>
    </xf>
    <xf numFmtId="1" fontId="200" fillId="0" borderId="26" xfId="0" applyNumberFormat="1" applyFont="1" applyBorder="1" applyAlignment="1" applyProtection="1">
      <alignment horizontal="center"/>
    </xf>
    <xf numFmtId="1" fontId="201" fillId="0" borderId="28" xfId="0" applyNumberFormat="1" applyFont="1" applyBorder="1" applyProtection="1"/>
    <xf numFmtId="1" fontId="200" fillId="0" borderId="27" xfId="0" applyNumberFormat="1" applyFont="1" applyBorder="1" applyAlignment="1" applyProtection="1">
      <alignment horizontal="center"/>
    </xf>
    <xf numFmtId="175" fontId="202" fillId="19" borderId="0" xfId="0" applyNumberFormat="1" applyFont="1" applyFill="1" applyBorder="1" applyProtection="1"/>
    <xf numFmtId="0" fontId="174" fillId="19" borderId="0" xfId="0" applyFont="1" applyFill="1" applyBorder="1" applyProtection="1"/>
    <xf numFmtId="1" fontId="4" fillId="0" borderId="27" xfId="0" applyNumberFormat="1" applyFont="1" applyBorder="1" applyAlignment="1" applyProtection="1">
      <alignment horizontal="center" vertical="center"/>
    </xf>
    <xf numFmtId="1" fontId="4" fillId="0" borderId="27" xfId="0" applyNumberFormat="1" applyFont="1" applyBorder="1" applyAlignment="1" applyProtection="1">
      <alignment horizontal="center" vertical="center"/>
      <protection locked="0"/>
    </xf>
    <xf numFmtId="1" fontId="4" fillId="0" borderId="28" xfId="0" applyNumberFormat="1" applyFont="1" applyBorder="1" applyAlignment="1" applyProtection="1">
      <alignment horizontal="center" vertical="center"/>
    </xf>
    <xf numFmtId="1" fontId="204" fillId="9" borderId="0" xfId="0" applyNumberFormat="1" applyFont="1" applyFill="1" applyBorder="1" applyAlignment="1" applyProtection="1">
      <alignment horizontal="center" vertical="center" textRotation="90" wrapText="1"/>
    </xf>
    <xf numFmtId="2" fontId="0" fillId="9" borderId="0" xfId="0" applyNumberFormat="1" applyFill="1" applyBorder="1"/>
    <xf numFmtId="0" fontId="174" fillId="19" borderId="0" xfId="0" applyFont="1" applyFill="1" applyBorder="1" applyAlignment="1" applyProtection="1">
      <alignment horizontal="center" vertical="center" wrapText="1"/>
    </xf>
    <xf numFmtId="0" fontId="205" fillId="19" borderId="0" xfId="0" applyFont="1" applyFill="1" applyBorder="1" applyAlignment="1" applyProtection="1"/>
    <xf numFmtId="0" fontId="206" fillId="21" borderId="0" xfId="0" applyFont="1" applyFill="1" applyBorder="1" applyAlignment="1" applyProtection="1">
      <alignment horizontal="center"/>
    </xf>
    <xf numFmtId="1" fontId="206" fillId="19" borderId="0" xfId="19" applyNumberFormat="1" applyFont="1" applyFill="1" applyBorder="1" applyAlignment="1" applyProtection="1">
      <alignment horizontal="center"/>
    </xf>
    <xf numFmtId="1" fontId="207" fillId="19" borderId="0" xfId="0" applyNumberFormat="1" applyFont="1" applyFill="1" applyBorder="1" applyAlignment="1" applyProtection="1">
      <alignment horizontal="center" vertical="center"/>
    </xf>
    <xf numFmtId="1" fontId="206" fillId="19" borderId="0" xfId="0" applyNumberFormat="1" applyFont="1" applyFill="1" applyBorder="1" applyAlignment="1" applyProtection="1">
      <alignment horizontal="center" vertical="center"/>
      <protection locked="0"/>
    </xf>
    <xf numFmtId="1" fontId="174" fillId="19" borderId="0" xfId="0" applyNumberFormat="1" applyFont="1" applyFill="1" applyBorder="1" applyAlignment="1" applyProtection="1">
      <alignment horizontal="center" vertical="center"/>
      <protection locked="0"/>
    </xf>
    <xf numFmtId="1" fontId="206" fillId="19" borderId="0" xfId="0" applyNumberFormat="1" applyFont="1" applyFill="1" applyBorder="1" applyAlignment="1">
      <alignment horizontal="center"/>
    </xf>
    <xf numFmtId="9" fontId="206" fillId="20" borderId="0" xfId="19" applyFont="1" applyFill="1" applyBorder="1" applyAlignment="1" applyProtection="1">
      <alignment horizontal="center"/>
      <protection hidden="1"/>
    </xf>
    <xf numFmtId="9" fontId="206" fillId="19" borderId="0" xfId="19" applyFont="1" applyFill="1" applyBorder="1" applyAlignment="1" applyProtection="1">
      <alignment horizontal="center"/>
    </xf>
    <xf numFmtId="1" fontId="206" fillId="35" borderId="0" xfId="0" applyNumberFormat="1" applyFont="1" applyFill="1" applyBorder="1" applyAlignment="1" applyProtection="1">
      <alignment horizontal="center"/>
    </xf>
    <xf numFmtId="1" fontId="208" fillId="9" borderId="0" xfId="0" applyNumberFormat="1" applyFont="1" applyFill="1" applyBorder="1" applyAlignment="1" applyProtection="1">
      <alignment horizontal="center" vertical="center" textRotation="90" wrapText="1"/>
    </xf>
    <xf numFmtId="175" fontId="209" fillId="19" borderId="0" xfId="0" applyNumberFormat="1" applyFont="1" applyFill="1" applyBorder="1" applyProtection="1"/>
    <xf numFmtId="0" fontId="210" fillId="19" borderId="0" xfId="0" applyFont="1" applyFill="1" applyBorder="1" applyProtection="1"/>
    <xf numFmtId="1" fontId="53" fillId="19" borderId="0" xfId="19" applyNumberFormat="1" applyFont="1" applyFill="1" applyBorder="1" applyProtection="1"/>
    <xf numFmtId="0" fontId="212" fillId="19" borderId="0" xfId="0" applyFont="1" applyFill="1" applyBorder="1" applyProtection="1"/>
    <xf numFmtId="14" fontId="213" fillId="19" borderId="0" xfId="0" applyNumberFormat="1" applyFont="1" applyFill="1" applyBorder="1" applyAlignment="1" applyProtection="1">
      <alignment horizontal="center"/>
    </xf>
    <xf numFmtId="0" fontId="212" fillId="9" borderId="0" xfId="0" applyFont="1" applyFill="1" applyBorder="1" applyProtection="1"/>
    <xf numFmtId="14" fontId="160" fillId="22" borderId="0" xfId="0" applyNumberFormat="1" applyFont="1" applyFill="1" applyBorder="1" applyAlignment="1" applyProtection="1">
      <alignment horizontal="left" vertical="center"/>
    </xf>
    <xf numFmtId="0" fontId="111" fillId="22" borderId="0" xfId="0" applyFont="1" applyFill="1" applyBorder="1" applyAlignment="1" applyProtection="1">
      <alignment horizontal="left" vertical="center"/>
    </xf>
    <xf numFmtId="0" fontId="210" fillId="9" borderId="0" xfId="0" applyFont="1" applyFill="1" applyBorder="1" applyProtection="1"/>
    <xf numFmtId="0" fontId="210" fillId="9" borderId="0" xfId="0" applyFont="1" applyFill="1" applyBorder="1" applyAlignment="1" applyProtection="1">
      <alignment horizontal="center"/>
    </xf>
    <xf numFmtId="0" fontId="111" fillId="22" borderId="0" xfId="0" applyFont="1" applyFill="1" applyBorder="1" applyAlignment="1">
      <alignment horizontal="left" vertical="center"/>
    </xf>
    <xf numFmtId="14" fontId="213" fillId="9" borderId="0" xfId="0" applyNumberFormat="1" applyFont="1" applyFill="1" applyBorder="1" applyAlignment="1" applyProtection="1">
      <alignment horizontal="center"/>
    </xf>
    <xf numFmtId="9" fontId="4" fillId="3" borderId="0" xfId="19" applyFont="1" applyFill="1" applyBorder="1" applyAlignment="1" applyProtection="1">
      <alignment horizontal="center"/>
      <protection hidden="1"/>
    </xf>
    <xf numFmtId="1" fontId="135" fillId="9" borderId="0" xfId="19" applyNumberFormat="1" applyFont="1" applyFill="1" applyBorder="1" applyAlignment="1" applyProtection="1">
      <alignment horizontal="center"/>
    </xf>
    <xf numFmtId="0" fontId="216" fillId="9" borderId="0" xfId="0" applyFont="1" applyFill="1" applyBorder="1" applyProtection="1"/>
    <xf numFmtId="0" fontId="3" fillId="9" borderId="0" xfId="0" applyFont="1" applyFill="1" applyBorder="1" applyProtection="1"/>
    <xf numFmtId="180" fontId="4" fillId="18" borderId="22" xfId="0" applyNumberFormat="1" applyFont="1" applyFill="1" applyBorder="1" applyAlignment="1">
      <alignment horizontal="center"/>
    </xf>
    <xf numFmtId="0" fontId="217" fillId="9" borderId="0" xfId="0" applyFont="1" applyFill="1" applyBorder="1" applyProtection="1"/>
    <xf numFmtId="1" fontId="216" fillId="9" borderId="0" xfId="19" applyNumberFormat="1" applyFont="1" applyFill="1" applyBorder="1" applyProtection="1"/>
    <xf numFmtId="1" fontId="111" fillId="9" borderId="0" xfId="0" applyNumberFormat="1" applyFont="1" applyFill="1" applyBorder="1" applyAlignment="1" applyProtection="1">
      <alignment horizontal="center"/>
    </xf>
    <xf numFmtId="1" fontId="160" fillId="9" borderId="0" xfId="0" applyNumberFormat="1" applyFont="1" applyFill="1" applyBorder="1" applyAlignment="1" applyProtection="1">
      <alignment horizontal="center"/>
      <protection locked="0"/>
    </xf>
    <xf numFmtId="1" fontId="218" fillId="9" borderId="0" xfId="0" applyNumberFormat="1" applyFont="1" applyFill="1" applyBorder="1" applyAlignment="1" applyProtection="1">
      <alignment horizontal="center"/>
      <protection locked="0"/>
    </xf>
    <xf numFmtId="1" fontId="219" fillId="9" borderId="0" xfId="0" applyNumberFormat="1" applyFont="1" applyFill="1" applyBorder="1" applyAlignment="1" applyProtection="1">
      <alignment horizontal="center"/>
      <protection locked="0"/>
    </xf>
    <xf numFmtId="1" fontId="111" fillId="9" borderId="0" xfId="0" applyNumberFormat="1" applyFont="1" applyFill="1" applyBorder="1"/>
    <xf numFmtId="9" fontId="135" fillId="9" borderId="0" xfId="19" applyFont="1" applyFill="1" applyBorder="1" applyAlignment="1" applyProtection="1">
      <alignment horizontal="center"/>
      <protection hidden="1"/>
    </xf>
    <xf numFmtId="9" fontId="216" fillId="9" borderId="0" xfId="19" applyFont="1" applyFill="1" applyBorder="1" applyProtection="1"/>
    <xf numFmtId="1" fontId="216" fillId="9" borderId="0" xfId="19" applyNumberFormat="1" applyFont="1" applyFill="1" applyBorder="1" applyAlignment="1" applyProtection="1">
      <alignment horizontal="center"/>
    </xf>
    <xf numFmtId="180" fontId="11" fillId="9" borderId="0" xfId="0" applyNumberFormat="1" applyFont="1" applyFill="1" applyBorder="1" applyAlignment="1" applyProtection="1">
      <alignment horizontal="center" textRotation="90" wrapText="1"/>
    </xf>
    <xf numFmtId="1" fontId="53" fillId="9" borderId="0" xfId="19" applyNumberFormat="1" applyFont="1" applyFill="1" applyBorder="1" applyProtection="1"/>
    <xf numFmtId="9" fontId="53" fillId="9" borderId="0" xfId="19" applyFont="1" applyFill="1" applyBorder="1" applyProtection="1"/>
    <xf numFmtId="1" fontId="160" fillId="9" borderId="0" xfId="0" applyNumberFormat="1" applyFont="1" applyFill="1" applyBorder="1" applyAlignment="1">
      <alignment horizontal="center"/>
    </xf>
    <xf numFmtId="1" fontId="218" fillId="9" borderId="0" xfId="0" applyNumberFormat="1" applyFont="1" applyFill="1" applyBorder="1" applyAlignment="1">
      <alignment horizontal="center"/>
    </xf>
    <xf numFmtId="1" fontId="219" fillId="9" borderId="0" xfId="0" applyNumberFormat="1" applyFont="1" applyFill="1" applyBorder="1" applyAlignment="1">
      <alignment horizontal="center"/>
    </xf>
    <xf numFmtId="14" fontId="160" fillId="9" borderId="0" xfId="0" applyNumberFormat="1" applyFont="1" applyFill="1" applyBorder="1" applyAlignment="1" applyProtection="1">
      <alignment horizontal="center"/>
    </xf>
    <xf numFmtId="0" fontId="216" fillId="9" borderId="0" xfId="0" applyFont="1" applyFill="1" applyProtection="1"/>
    <xf numFmtId="0" fontId="0" fillId="9" borderId="0" xfId="0" applyNumberFormat="1" applyFill="1"/>
    <xf numFmtId="1" fontId="53" fillId="19" borderId="0" xfId="19" applyNumberFormat="1" applyFont="1" applyFill="1" applyProtection="1"/>
    <xf numFmtId="0" fontId="217" fillId="9" borderId="0" xfId="0" applyFont="1" applyFill="1" applyProtection="1"/>
    <xf numFmtId="1" fontId="216" fillId="9" borderId="0" xfId="19" applyNumberFormat="1" applyFont="1" applyFill="1" applyProtection="1"/>
    <xf numFmtId="1" fontId="111" fillId="9" borderId="0" xfId="0" applyNumberFormat="1" applyFont="1" applyFill="1" applyAlignment="1" applyProtection="1">
      <alignment horizontal="center"/>
    </xf>
    <xf numFmtId="1" fontId="160" fillId="9" borderId="0" xfId="0" applyNumberFormat="1" applyFont="1" applyFill="1" applyAlignment="1">
      <alignment horizontal="center"/>
    </xf>
    <xf numFmtId="1" fontId="218" fillId="9" borderId="0" xfId="0" applyNumberFormat="1" applyFont="1" applyFill="1" applyAlignment="1">
      <alignment horizontal="center"/>
    </xf>
    <xf numFmtId="1" fontId="219" fillId="9" borderId="0" xfId="0" applyNumberFormat="1" applyFont="1" applyFill="1" applyAlignment="1">
      <alignment horizontal="center"/>
    </xf>
    <xf numFmtId="1" fontId="111" fillId="9" borderId="0" xfId="0" applyNumberFormat="1" applyFont="1" applyFill="1"/>
    <xf numFmtId="9" fontId="216" fillId="9" borderId="0" xfId="19" applyFont="1" applyFill="1" applyProtection="1"/>
    <xf numFmtId="1" fontId="216" fillId="9" borderId="0" xfId="19" applyNumberFormat="1" applyFont="1" applyFill="1" applyAlignment="1" applyProtection="1">
      <alignment horizontal="center"/>
    </xf>
    <xf numFmtId="0" fontId="160" fillId="9" borderId="0" xfId="0" applyNumberFormat="1" applyFont="1" applyFill="1" applyAlignment="1" applyProtection="1">
      <alignment horizontal="center"/>
    </xf>
    <xf numFmtId="0" fontId="0" fillId="19" borderId="0" xfId="0" applyNumberFormat="1" applyFill="1" applyAlignment="1">
      <alignment horizontal="center"/>
    </xf>
    <xf numFmtId="178" fontId="3" fillId="19" borderId="0" xfId="0" applyNumberFormat="1" applyFont="1" applyFill="1" applyAlignment="1">
      <alignment horizontal="center"/>
    </xf>
    <xf numFmtId="1" fontId="53" fillId="9" borderId="0" xfId="19" applyNumberFormat="1" applyFont="1" applyFill="1" applyProtection="1"/>
    <xf numFmtId="9" fontId="53" fillId="9" borderId="0" xfId="19" applyFont="1" applyFill="1" applyProtection="1"/>
    <xf numFmtId="0" fontId="160" fillId="9" borderId="0" xfId="0" applyFont="1" applyFill="1" applyAlignment="1" applyProtection="1">
      <alignment horizontal="center"/>
    </xf>
    <xf numFmtId="0" fontId="216" fillId="9" borderId="0" xfId="0" applyFont="1" applyFill="1"/>
    <xf numFmtId="0" fontId="70" fillId="19" borderId="0" xfId="0" applyNumberFormat="1" applyFont="1" applyFill="1" applyBorder="1" applyAlignment="1">
      <alignment horizontal="center"/>
    </xf>
    <xf numFmtId="1" fontId="8" fillId="19" borderId="0" xfId="19" applyNumberFormat="1" applyFont="1" applyFill="1" applyBorder="1" applyAlignment="1" applyProtection="1">
      <alignment horizontal="center"/>
    </xf>
    <xf numFmtId="1" fontId="111" fillId="9" borderId="0" xfId="19" applyNumberFormat="1" applyFont="1" applyFill="1" applyProtection="1"/>
    <xf numFmtId="9" fontId="111" fillId="9" borderId="0" xfId="19" applyFont="1" applyFill="1" applyProtection="1"/>
    <xf numFmtId="1" fontId="111" fillId="9" borderId="0" xfId="19" applyNumberFormat="1" applyFont="1" applyFill="1" applyAlignment="1" applyProtection="1">
      <alignment horizontal="center"/>
    </xf>
    <xf numFmtId="9" fontId="0" fillId="9" borderId="0" xfId="19" applyFont="1" applyFill="1" applyProtection="1"/>
    <xf numFmtId="14" fontId="220" fillId="9" borderId="0" xfId="19" applyNumberFormat="1" applyFont="1" applyFill="1" applyProtection="1"/>
    <xf numFmtId="2" fontId="3" fillId="9" borderId="0" xfId="0" applyNumberFormat="1" applyFont="1" applyFill="1" applyAlignment="1" applyProtection="1">
      <alignment horizontal="center"/>
    </xf>
    <xf numFmtId="0" fontId="3" fillId="9" borderId="0" xfId="0" applyFont="1" applyFill="1" applyProtection="1"/>
    <xf numFmtId="177" fontId="0" fillId="9" borderId="0" xfId="0" applyNumberFormat="1" applyFill="1" applyProtection="1"/>
    <xf numFmtId="1" fontId="160" fillId="9" borderId="0" xfId="0" applyNumberFormat="1" applyFont="1" applyFill="1" applyBorder="1" applyAlignment="1" applyProtection="1">
      <alignment horizontal="center"/>
    </xf>
    <xf numFmtId="1" fontId="218" fillId="9" borderId="0" xfId="0" applyNumberFormat="1" applyFont="1" applyFill="1" applyBorder="1" applyAlignment="1" applyProtection="1">
      <alignment horizontal="center" vertical="center"/>
      <protection locked="0"/>
    </xf>
    <xf numFmtId="1" fontId="160" fillId="9" borderId="0" xfId="0" applyNumberFormat="1" applyFont="1" applyFill="1" applyBorder="1"/>
    <xf numFmtId="16" fontId="160" fillId="9" borderId="0" xfId="0" applyNumberFormat="1" applyFont="1" applyFill="1" applyAlignment="1" applyProtection="1">
      <alignment horizontal="center"/>
    </xf>
    <xf numFmtId="0" fontId="8" fillId="9" borderId="0" xfId="0" applyFont="1" applyFill="1" applyBorder="1" applyAlignment="1" applyProtection="1">
      <alignment horizontal="center" vertical="center"/>
      <protection locked="0"/>
    </xf>
    <xf numFmtId="0" fontId="8" fillId="9" borderId="0" xfId="0" applyFont="1" applyFill="1" applyBorder="1"/>
    <xf numFmtId="1" fontId="111" fillId="9" borderId="0" xfId="19" applyNumberFormat="1" applyFont="1" applyFill="1" applyBorder="1" applyProtection="1"/>
    <xf numFmtId="16" fontId="160" fillId="9" borderId="0" xfId="0" applyNumberFormat="1" applyFont="1" applyFill="1" applyAlignment="1">
      <alignment horizontal="center"/>
    </xf>
    <xf numFmtId="0" fontId="111" fillId="9" borderId="0" xfId="0" applyFont="1" applyFill="1" applyAlignment="1" applyProtection="1">
      <alignment horizontal="center"/>
    </xf>
    <xf numFmtId="0" fontId="111" fillId="9" borderId="0" xfId="0" applyFont="1" applyFill="1" applyAlignment="1">
      <alignment horizontal="center"/>
    </xf>
    <xf numFmtId="0" fontId="216" fillId="9" borderId="0" xfId="0" applyFont="1" applyFill="1" applyAlignment="1" applyProtection="1">
      <alignment horizontal="center"/>
    </xf>
    <xf numFmtId="1" fontId="3" fillId="9" borderId="0" xfId="19" applyNumberFormat="1" applyFont="1" applyFill="1" applyProtection="1"/>
    <xf numFmtId="1" fontId="3" fillId="9" borderId="0" xfId="0" applyNumberFormat="1" applyFont="1" applyFill="1"/>
    <xf numFmtId="9" fontId="4" fillId="9" borderId="0" xfId="19" applyFont="1" applyFill="1" applyBorder="1" applyAlignment="1" applyProtection="1">
      <alignment horizontal="center"/>
      <protection hidden="1"/>
    </xf>
    <xf numFmtId="9" fontId="3" fillId="9" borderId="0" xfId="19" applyFont="1" applyFill="1" applyProtection="1"/>
    <xf numFmtId="1" fontId="3" fillId="9" borderId="0" xfId="19" applyNumberFormat="1" applyFont="1" applyFill="1" applyAlignment="1" applyProtection="1">
      <alignment horizontal="center"/>
    </xf>
    <xf numFmtId="0" fontId="53" fillId="9" borderId="0" xfId="0" applyFont="1" applyFill="1" applyAlignment="1" applyProtection="1">
      <alignment horizontal="center"/>
    </xf>
    <xf numFmtId="0" fontId="3" fillId="9" borderId="0" xfId="0" applyFont="1" applyFill="1" applyAlignment="1" applyProtection="1">
      <alignment horizontal="center"/>
    </xf>
    <xf numFmtId="0" fontId="3" fillId="9" borderId="0" xfId="0" applyNumberFormat="1" applyFont="1" applyFill="1" applyBorder="1"/>
    <xf numFmtId="1" fontId="3" fillId="9" borderId="0" xfId="19" applyNumberFormat="1" applyFont="1" applyFill="1" applyBorder="1" applyProtection="1"/>
    <xf numFmtId="0" fontId="177" fillId="9" borderId="0" xfId="0" applyFont="1" applyFill="1" applyBorder="1" applyProtection="1"/>
    <xf numFmtId="1" fontId="8" fillId="9" borderId="0" xfId="0" applyNumberFormat="1" applyFont="1" applyFill="1" applyBorder="1" applyAlignment="1">
      <alignment horizontal="center"/>
    </xf>
    <xf numFmtId="1" fontId="15" fillId="9" borderId="0" xfId="0" applyNumberFormat="1" applyFont="1" applyFill="1" applyBorder="1" applyAlignment="1">
      <alignment horizontal="center"/>
    </xf>
    <xf numFmtId="1" fontId="11" fillId="9" borderId="0" xfId="0" applyNumberFormat="1" applyFont="1" applyFill="1" applyBorder="1" applyAlignment="1">
      <alignment horizontal="center"/>
    </xf>
    <xf numFmtId="1" fontId="3" fillId="9" borderId="0" xfId="0" applyNumberFormat="1" applyFont="1" applyFill="1" applyBorder="1"/>
    <xf numFmtId="9" fontId="3" fillId="9" borderId="0" xfId="19" applyFont="1" applyFill="1" applyBorder="1" applyProtection="1">
      <protection hidden="1"/>
    </xf>
    <xf numFmtId="9" fontId="3" fillId="9" borderId="0" xfId="19" applyFont="1" applyFill="1" applyBorder="1" applyProtection="1"/>
    <xf numFmtId="1" fontId="3" fillId="9" borderId="0" xfId="19" applyNumberFormat="1" applyFont="1" applyFill="1" applyBorder="1" applyAlignment="1" applyProtection="1">
      <alignment horizontal="center"/>
    </xf>
    <xf numFmtId="0" fontId="3" fillId="9" borderId="0" xfId="0" applyFont="1" applyFill="1" applyBorder="1" applyAlignment="1" applyProtection="1">
      <alignment horizontal="center"/>
    </xf>
    <xf numFmtId="0" fontId="3" fillId="9" borderId="0" xfId="0" applyNumberFormat="1" applyFont="1" applyFill="1" applyBorder="1" applyProtection="1"/>
    <xf numFmtId="0" fontId="221" fillId="19" borderId="0" xfId="0" applyNumberFormat="1" applyFont="1" applyFill="1" applyBorder="1" applyAlignment="1">
      <alignment horizontal="center"/>
    </xf>
    <xf numFmtId="178" fontId="27" fillId="19" borderId="0" xfId="0" applyNumberFormat="1" applyFont="1" applyFill="1" applyBorder="1" applyAlignment="1">
      <alignment horizontal="center"/>
    </xf>
    <xf numFmtId="0" fontId="27" fillId="19" borderId="0" xfId="0" applyNumberFormat="1" applyFont="1" applyFill="1" applyBorder="1" applyAlignment="1">
      <alignment horizontal="center"/>
    </xf>
    <xf numFmtId="1" fontId="27" fillId="19" borderId="0" xfId="19" applyNumberFormat="1" applyFont="1" applyFill="1" applyBorder="1" applyProtection="1"/>
    <xf numFmtId="180" fontId="72" fillId="19" borderId="0" xfId="0" applyNumberFormat="1" applyFont="1" applyFill="1" applyBorder="1" applyAlignment="1" applyProtection="1">
      <alignment horizontal="center"/>
    </xf>
    <xf numFmtId="180" fontId="72" fillId="19" borderId="0" xfId="0" applyNumberFormat="1" applyFont="1" applyFill="1" applyBorder="1" applyAlignment="1">
      <alignment horizontal="center"/>
    </xf>
    <xf numFmtId="0" fontId="27" fillId="19" borderId="0" xfId="0" applyFont="1" applyFill="1" applyBorder="1"/>
    <xf numFmtId="0" fontId="27" fillId="9" borderId="0" xfId="0" applyFont="1" applyFill="1" applyBorder="1"/>
    <xf numFmtId="0" fontId="27" fillId="9" borderId="0" xfId="0" applyFont="1" applyFill="1" applyBorder="1" applyAlignment="1">
      <alignment horizontal="center"/>
    </xf>
    <xf numFmtId="1" fontId="27" fillId="9" borderId="0" xfId="19" applyNumberFormat="1" applyFont="1" applyFill="1" applyBorder="1" applyProtection="1"/>
    <xf numFmtId="9" fontId="27" fillId="9" borderId="0" xfId="19" applyFont="1" applyFill="1" applyBorder="1" applyProtection="1"/>
    <xf numFmtId="0" fontId="27" fillId="0" borderId="0" xfId="0" applyFont="1" applyBorder="1"/>
    <xf numFmtId="1" fontId="3" fillId="9" borderId="0" xfId="0" applyNumberFormat="1" applyFont="1" applyFill="1" applyBorder="1" applyAlignment="1" applyProtection="1">
      <alignment horizontal="center"/>
    </xf>
    <xf numFmtId="1" fontId="3" fillId="19" borderId="0" xfId="19" applyNumberFormat="1" applyFont="1" applyFill="1" applyBorder="1" applyProtection="1"/>
    <xf numFmtId="175" fontId="3" fillId="9" borderId="0" xfId="0" applyNumberFormat="1" applyFont="1" applyFill="1" applyBorder="1"/>
    <xf numFmtId="14" fontId="53" fillId="9" borderId="0" xfId="0" applyNumberFormat="1" applyFont="1" applyFill="1" applyBorder="1" applyAlignment="1" applyProtection="1">
      <alignment horizontal="center"/>
    </xf>
    <xf numFmtId="0" fontId="3" fillId="9" borderId="0" xfId="0" applyNumberFormat="1" applyFont="1" applyFill="1" applyBorder="1" applyAlignment="1" applyProtection="1">
      <alignment horizontal="center"/>
    </xf>
    <xf numFmtId="1" fontId="222" fillId="9" borderId="0" xfId="0" applyNumberFormat="1" applyFont="1" applyFill="1" applyBorder="1" applyAlignment="1" applyProtection="1">
      <alignment horizontal="center" vertical="center" wrapText="1"/>
    </xf>
    <xf numFmtId="1" fontId="8" fillId="9" borderId="0" xfId="0" applyNumberFormat="1" applyFont="1" applyFill="1" applyBorder="1"/>
    <xf numFmtId="171" fontId="8" fillId="9" borderId="0" xfId="0" applyNumberFormat="1" applyFont="1" applyFill="1" applyBorder="1"/>
    <xf numFmtId="0" fontId="3" fillId="19" borderId="0" xfId="0" applyFont="1" applyFill="1" applyBorder="1" applyProtection="1"/>
    <xf numFmtId="178" fontId="3" fillId="19" borderId="0" xfId="0" applyNumberFormat="1" applyFont="1" applyFill="1" applyBorder="1" applyAlignment="1" applyProtection="1">
      <alignment horizontal="center"/>
    </xf>
    <xf numFmtId="0" fontId="3" fillId="19" borderId="0" xfId="0" applyFont="1" applyFill="1" applyBorder="1" applyAlignment="1" applyProtection="1">
      <alignment horizontal="center"/>
    </xf>
    <xf numFmtId="0" fontId="72" fillId="9" borderId="0" xfId="0" applyFont="1" applyFill="1" applyBorder="1" applyAlignment="1" applyProtection="1">
      <alignment horizontal="center" vertical="center"/>
      <protection locked="0"/>
    </xf>
    <xf numFmtId="0" fontId="72" fillId="9" borderId="0" xfId="0" applyFont="1" applyFill="1" applyBorder="1"/>
    <xf numFmtId="1" fontId="8" fillId="9" borderId="0" xfId="0" applyNumberFormat="1" applyFont="1" applyFill="1" applyBorder="1" applyAlignment="1" applyProtection="1">
      <alignment horizontal="center"/>
    </xf>
    <xf numFmtId="180" fontId="72" fillId="9" borderId="0" xfId="0" applyNumberFormat="1" applyFont="1" applyFill="1" applyBorder="1"/>
    <xf numFmtId="1" fontId="72" fillId="9" borderId="0" xfId="0" applyNumberFormat="1" applyFont="1" applyFill="1" applyBorder="1"/>
    <xf numFmtId="1" fontId="25" fillId="9" borderId="0" xfId="0" applyNumberFormat="1" applyFont="1" applyFill="1" applyBorder="1" applyAlignment="1">
      <alignment horizontal="center"/>
    </xf>
    <xf numFmtId="175" fontId="72" fillId="9" borderId="0" xfId="0" applyNumberFormat="1" applyFont="1" applyFill="1" applyBorder="1"/>
    <xf numFmtId="0" fontId="223" fillId="9" borderId="0" xfId="0" applyFont="1" applyFill="1" applyBorder="1" applyProtection="1"/>
    <xf numFmtId="1" fontId="27" fillId="9" borderId="0" xfId="0" applyNumberFormat="1" applyFont="1" applyFill="1" applyBorder="1" applyAlignment="1" applyProtection="1">
      <alignment horizontal="center"/>
    </xf>
    <xf numFmtId="1" fontId="224" fillId="9" borderId="0" xfId="0" applyNumberFormat="1" applyFont="1" applyFill="1" applyBorder="1" applyAlignment="1">
      <alignment horizontal="center"/>
    </xf>
    <xf numFmtId="1" fontId="189" fillId="9" borderId="0" xfId="0" applyNumberFormat="1" applyFont="1" applyFill="1" applyBorder="1" applyAlignment="1">
      <alignment horizontal="center"/>
    </xf>
    <xf numFmtId="1" fontId="27" fillId="9" borderId="0" xfId="0" applyNumberFormat="1" applyFont="1" applyFill="1" applyBorder="1"/>
    <xf numFmtId="9" fontId="27" fillId="9" borderId="0" xfId="19" applyFont="1" applyFill="1" applyBorder="1" applyProtection="1">
      <protection hidden="1"/>
    </xf>
    <xf numFmtId="1" fontId="27" fillId="9" borderId="0" xfId="19" applyNumberFormat="1" applyFont="1" applyFill="1" applyBorder="1" applyAlignment="1" applyProtection="1">
      <alignment horizontal="center"/>
    </xf>
    <xf numFmtId="0" fontId="225" fillId="9" borderId="0" xfId="0" applyFont="1" applyFill="1" applyBorder="1"/>
    <xf numFmtId="0" fontId="225" fillId="9" borderId="0" xfId="0" applyFont="1" applyFill="1" applyBorder="1" applyAlignment="1" applyProtection="1">
      <alignment horizontal="center"/>
    </xf>
    <xf numFmtId="0" fontId="27" fillId="9" borderId="0" xfId="0" applyFont="1" applyFill="1" applyBorder="1" applyProtection="1"/>
    <xf numFmtId="0" fontId="27" fillId="9" borderId="0" xfId="0" applyFont="1" applyFill="1" applyBorder="1" applyAlignment="1" applyProtection="1">
      <alignment horizontal="center"/>
    </xf>
    <xf numFmtId="0" fontId="27" fillId="9" borderId="0" xfId="0" applyNumberFormat="1" applyFont="1" applyFill="1" applyBorder="1" applyProtection="1"/>
    <xf numFmtId="9" fontId="0" fillId="9" borderId="0" xfId="19" applyFont="1" applyFill="1" applyProtection="1">
      <protection hidden="1"/>
    </xf>
    <xf numFmtId="0" fontId="3" fillId="19" borderId="0" xfId="0" applyNumberFormat="1" applyFont="1" applyFill="1" applyBorder="1"/>
    <xf numFmtId="1" fontId="3" fillId="19" borderId="0" xfId="19" applyNumberFormat="1" applyFont="1" applyFill="1" applyProtection="1"/>
    <xf numFmtId="0" fontId="53" fillId="0" borderId="0" xfId="0" applyFont="1" applyAlignment="1" applyProtection="1">
      <alignment horizontal="center"/>
    </xf>
    <xf numFmtId="0" fontId="0" fillId="0" borderId="0" xfId="0" applyAlignment="1" applyProtection="1">
      <alignment horizontal="center"/>
    </xf>
    <xf numFmtId="0" fontId="177" fillId="0" borderId="0" xfId="0" applyFont="1" applyProtection="1"/>
    <xf numFmtId="1" fontId="0" fillId="0" borderId="0" xfId="19" applyNumberFormat="1" applyFont="1" applyProtection="1"/>
    <xf numFmtId="1" fontId="0" fillId="0" borderId="0" xfId="0" applyNumberFormat="1" applyAlignment="1" applyProtection="1">
      <alignment horizontal="center"/>
    </xf>
    <xf numFmtId="1" fontId="8" fillId="0" borderId="0" xfId="0" applyNumberFormat="1" applyFont="1" applyAlignment="1">
      <alignment horizontal="center"/>
    </xf>
    <xf numFmtId="1" fontId="15" fillId="0" borderId="0" xfId="0" applyNumberFormat="1" applyFont="1" applyAlignment="1">
      <alignment horizontal="center"/>
    </xf>
    <xf numFmtId="1" fontId="11" fillId="0" borderId="0" xfId="0" applyNumberFormat="1" applyFont="1" applyAlignment="1">
      <alignment horizontal="center"/>
    </xf>
    <xf numFmtId="180" fontId="8" fillId="19" borderId="28" xfId="0" applyNumberFormat="1" applyFont="1" applyFill="1" applyBorder="1" applyAlignment="1" applyProtection="1">
      <alignment horizontal="center"/>
    </xf>
    <xf numFmtId="180" fontId="8" fillId="19" borderId="28" xfId="0" applyNumberFormat="1" applyFont="1" applyFill="1" applyBorder="1" applyAlignment="1">
      <alignment horizontal="center"/>
    </xf>
    <xf numFmtId="0" fontId="0" fillId="19" borderId="28" xfId="0" applyFill="1" applyBorder="1"/>
    <xf numFmtId="0" fontId="0" fillId="19" borderId="23" xfId="0" applyFill="1" applyBorder="1"/>
    <xf numFmtId="0" fontId="8" fillId="9" borderId="0" xfId="0" applyFont="1" applyFill="1" applyBorder="1" applyAlignment="1">
      <alignment horizontal="left" textRotation="90" wrapText="1"/>
    </xf>
    <xf numFmtId="1" fontId="38" fillId="0" borderId="23" xfId="0" applyNumberFormat="1" applyFont="1" applyBorder="1" applyProtection="1"/>
    <xf numFmtId="0" fontId="193" fillId="19" borderId="0" xfId="0" applyFont="1" applyFill="1" applyBorder="1" applyAlignment="1">
      <alignment horizontal="left" vertical="top" wrapText="1"/>
    </xf>
    <xf numFmtId="173" fontId="43" fillId="9" borderId="48" xfId="19" applyNumberFormat="1" applyFont="1" applyFill="1" applyBorder="1" applyAlignment="1" applyProtection="1">
      <alignment horizontal="center"/>
    </xf>
    <xf numFmtId="1" fontId="38" fillId="0" borderId="25" xfId="0" applyNumberFormat="1" applyFont="1" applyBorder="1" applyAlignment="1" applyProtection="1">
      <alignment horizontal="left"/>
    </xf>
    <xf numFmtId="0" fontId="8" fillId="9" borderId="49" xfId="0" applyFont="1" applyFill="1" applyBorder="1" applyProtection="1"/>
    <xf numFmtId="0" fontId="92" fillId="19" borderId="0" xfId="0" applyFont="1" applyFill="1"/>
    <xf numFmtId="0" fontId="48" fillId="19" borderId="0" xfId="0" applyFont="1" applyFill="1"/>
    <xf numFmtId="0" fontId="197" fillId="19" borderId="0" xfId="0" applyFont="1" applyFill="1" applyBorder="1"/>
    <xf numFmtId="0" fontId="197" fillId="19" borderId="0" xfId="0" applyFont="1" applyFill="1" applyBorder="1" applyProtection="1"/>
    <xf numFmtId="1" fontId="199" fillId="19" borderId="0" xfId="0" applyNumberFormat="1" applyFont="1" applyFill="1" applyBorder="1" applyAlignment="1" applyProtection="1">
      <alignment horizontal="centerContinuous"/>
      <protection hidden="1"/>
    </xf>
    <xf numFmtId="0" fontId="226" fillId="11" borderId="17" xfId="0" applyFont="1" applyFill="1" applyBorder="1"/>
    <xf numFmtId="0" fontId="0" fillId="11" borderId="17" xfId="0" applyFill="1" applyBorder="1" applyAlignment="1">
      <alignment horizontal="center"/>
    </xf>
    <xf numFmtId="0" fontId="0" fillId="11" borderId="17" xfId="0" applyFill="1" applyBorder="1"/>
    <xf numFmtId="0" fontId="226" fillId="11" borderId="17" xfId="0" applyFont="1" applyFill="1" applyBorder="1" applyAlignment="1">
      <alignment horizontal="center"/>
    </xf>
    <xf numFmtId="0" fontId="0" fillId="11" borderId="25" xfId="0" applyFill="1" applyBorder="1"/>
    <xf numFmtId="0" fontId="0" fillId="11" borderId="0" xfId="0" applyFill="1" applyBorder="1"/>
    <xf numFmtId="0" fontId="0" fillId="11" borderId="35" xfId="0" applyFill="1" applyBorder="1" applyAlignment="1">
      <alignment horizontal="left"/>
    </xf>
    <xf numFmtId="0" fontId="0" fillId="11" borderId="17" xfId="0" applyFill="1" applyBorder="1" applyAlignment="1"/>
    <xf numFmtId="0" fontId="3" fillId="11" borderId="17" xfId="0" applyFont="1" applyFill="1" applyBorder="1" applyAlignment="1">
      <alignment horizontal="left"/>
    </xf>
    <xf numFmtId="0" fontId="226" fillId="11" borderId="36" xfId="0" applyFont="1" applyFill="1" applyBorder="1"/>
    <xf numFmtId="0" fontId="0" fillId="11" borderId="36" xfId="0" applyFill="1" applyBorder="1"/>
    <xf numFmtId="0" fontId="32" fillId="11" borderId="0" xfId="0" applyFont="1" applyFill="1" applyBorder="1"/>
    <xf numFmtId="0" fontId="31" fillId="11" borderId="0" xfId="0" applyFont="1" applyFill="1" applyBorder="1" applyAlignment="1">
      <alignment horizontal="center"/>
    </xf>
    <xf numFmtId="0" fontId="111" fillId="11" borderId="0" xfId="0" applyFont="1" applyFill="1" applyBorder="1"/>
    <xf numFmtId="0" fontId="32" fillId="11" borderId="72" xfId="0" applyFont="1" applyFill="1" applyBorder="1"/>
    <xf numFmtId="0" fontId="0" fillId="11" borderId="0" xfId="0" applyFill="1" applyBorder="1" applyProtection="1">
      <protection locked="0"/>
    </xf>
    <xf numFmtId="0" fontId="228" fillId="11" borderId="0" xfId="0" applyFont="1" applyFill="1" applyBorder="1"/>
    <xf numFmtId="0" fontId="216" fillId="11" borderId="0" xfId="0" applyFont="1" applyFill="1" applyBorder="1"/>
    <xf numFmtId="0" fontId="0" fillId="11" borderId="72" xfId="0" applyFill="1" applyBorder="1" applyProtection="1">
      <protection locked="0"/>
    </xf>
    <xf numFmtId="177" fontId="9" fillId="11" borderId="48" xfId="0" applyNumberFormat="1" applyFont="1" applyFill="1" applyBorder="1"/>
    <xf numFmtId="177" fontId="29" fillId="11" borderId="0" xfId="0" applyNumberFormat="1" applyFont="1" applyFill="1" applyBorder="1" applyAlignment="1">
      <alignment horizontal="center"/>
    </xf>
    <xf numFmtId="177" fontId="9" fillId="11" borderId="0" xfId="0" applyNumberFormat="1" applyFont="1" applyFill="1" applyBorder="1" applyAlignment="1">
      <alignment horizontal="center"/>
    </xf>
    <xf numFmtId="177" fontId="33" fillId="11" borderId="0" xfId="0" applyNumberFormat="1" applyFont="1" applyFill="1" applyBorder="1" applyAlignment="1">
      <alignment horizontal="center"/>
    </xf>
    <xf numFmtId="177" fontId="9" fillId="11" borderId="72" xfId="0" applyNumberFormat="1" applyFont="1" applyFill="1" applyBorder="1" applyAlignment="1">
      <alignment horizontal="center"/>
    </xf>
    <xf numFmtId="177" fontId="9" fillId="11" borderId="0" xfId="0" applyNumberFormat="1" applyFont="1" applyFill="1" applyBorder="1"/>
    <xf numFmtId="177" fontId="33" fillId="11" borderId="72" xfId="0" applyNumberFormat="1" applyFont="1" applyFill="1" applyBorder="1" applyAlignment="1">
      <alignment horizontal="center"/>
    </xf>
    <xf numFmtId="0" fontId="0" fillId="11" borderId="48" xfId="0" applyFill="1" applyBorder="1"/>
    <xf numFmtId="0" fontId="0" fillId="4" borderId="39" xfId="0" applyFill="1" applyBorder="1" applyAlignment="1" applyProtection="1">
      <alignment horizontal="center"/>
    </xf>
    <xf numFmtId="0" fontId="9" fillId="11" borderId="40" xfId="0" applyFont="1" applyFill="1" applyBorder="1" applyAlignment="1" applyProtection="1">
      <alignment horizontal="center"/>
      <protection locked="0"/>
    </xf>
    <xf numFmtId="0" fontId="33" fillId="11" borderId="73" xfId="0" applyFont="1" applyFill="1" applyBorder="1" applyAlignment="1" applyProtection="1">
      <alignment horizontal="center"/>
      <protection locked="0"/>
    </xf>
    <xf numFmtId="0" fontId="0" fillId="11" borderId="41" xfId="0" applyFill="1" applyBorder="1" applyAlignment="1" applyProtection="1">
      <alignment horizontal="center"/>
      <protection locked="0"/>
    </xf>
    <xf numFmtId="0" fontId="0" fillId="11" borderId="74" xfId="0" applyFill="1" applyBorder="1" applyAlignment="1" applyProtection="1">
      <alignment horizontal="center"/>
      <protection locked="0"/>
    </xf>
    <xf numFmtId="0" fontId="9" fillId="11" borderId="75" xfId="0" applyFont="1" applyFill="1" applyBorder="1" applyAlignment="1" applyProtection="1">
      <alignment horizontal="center"/>
    </xf>
    <xf numFmtId="0" fontId="33" fillId="11" borderId="76" xfId="0" applyFont="1" applyFill="1" applyBorder="1" applyAlignment="1" applyProtection="1">
      <alignment horizontal="center"/>
    </xf>
    <xf numFmtId="0" fontId="53" fillId="11" borderId="72" xfId="0" applyFont="1" applyFill="1" applyBorder="1" applyAlignment="1" applyProtection="1">
      <alignment horizontal="center"/>
    </xf>
    <xf numFmtId="0" fontId="0" fillId="4" borderId="42" xfId="0" applyFill="1" applyBorder="1" applyAlignment="1" applyProtection="1">
      <alignment horizontal="center"/>
    </xf>
    <xf numFmtId="0" fontId="9" fillId="11" borderId="43" xfId="0" applyFont="1" applyFill="1" applyBorder="1" applyAlignment="1" applyProtection="1">
      <alignment horizontal="center"/>
      <protection locked="0"/>
    </xf>
    <xf numFmtId="0" fontId="33" fillId="11" borderId="77" xfId="0" applyFont="1" applyFill="1" applyBorder="1" applyAlignment="1" applyProtection="1">
      <alignment horizontal="center"/>
      <protection locked="0"/>
    </xf>
    <xf numFmtId="0" fontId="0" fillId="11" borderId="44" xfId="0" applyFill="1" applyBorder="1" applyAlignment="1" applyProtection="1">
      <alignment horizontal="center"/>
      <protection locked="0"/>
    </xf>
    <xf numFmtId="0" fontId="0" fillId="11" borderId="78" xfId="0" applyFill="1" applyBorder="1" applyAlignment="1" applyProtection="1">
      <alignment horizontal="center"/>
      <protection locked="0"/>
    </xf>
    <xf numFmtId="0" fontId="25" fillId="9" borderId="0" xfId="0" applyFont="1" applyFill="1" applyBorder="1" applyAlignment="1" applyProtection="1">
      <alignment vertical="center"/>
    </xf>
    <xf numFmtId="177" fontId="26" fillId="9" borderId="0" xfId="0" applyNumberFormat="1" applyFont="1" applyFill="1" applyAlignment="1">
      <alignment horizontal="centerContinuous"/>
    </xf>
    <xf numFmtId="0" fontId="34" fillId="9" borderId="72" xfId="0" applyFont="1" applyFill="1" applyBorder="1" applyAlignment="1" applyProtection="1">
      <alignment horizontal="centerContinuous" vertical="center"/>
      <protection locked="0"/>
    </xf>
    <xf numFmtId="0" fontId="4" fillId="11" borderId="0" xfId="0" applyFont="1" applyFill="1" applyBorder="1" applyProtection="1">
      <protection locked="0"/>
    </xf>
    <xf numFmtId="0" fontId="26" fillId="9" borderId="0"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protection locked="0"/>
    </xf>
    <xf numFmtId="0" fontId="26" fillId="9" borderId="0" xfId="20" applyFont="1" applyFill="1" applyBorder="1" applyAlignment="1" applyProtection="1">
      <alignment horizontal="center"/>
      <protection locked="0"/>
    </xf>
    <xf numFmtId="0" fontId="34" fillId="9" borderId="72" xfId="20" applyFont="1" applyFill="1" applyBorder="1" applyAlignment="1" applyProtection="1">
      <alignment horizontal="center"/>
      <protection locked="0"/>
    </xf>
    <xf numFmtId="0" fontId="4" fillId="11" borderId="0" xfId="0" applyFont="1" applyFill="1" applyBorder="1" applyAlignment="1" applyProtection="1">
      <alignment shrinkToFit="1"/>
      <protection locked="0"/>
    </xf>
    <xf numFmtId="177" fontId="37" fillId="9" borderId="0" xfId="0" applyNumberFormat="1" applyFont="1" applyFill="1" applyAlignment="1" applyProtection="1">
      <alignment horizontal="centerContinuous"/>
    </xf>
    <xf numFmtId="177" fontId="116" fillId="9" borderId="72" xfId="0" applyNumberFormat="1" applyFont="1" applyFill="1" applyBorder="1" applyAlignment="1" applyProtection="1">
      <alignment horizontal="centerContinuous"/>
      <protection locked="0"/>
    </xf>
    <xf numFmtId="0" fontId="26" fillId="9" borderId="0" xfId="0" applyFont="1" applyFill="1" applyAlignment="1" applyProtection="1">
      <alignment horizontal="center"/>
      <protection locked="0"/>
    </xf>
    <xf numFmtId="0" fontId="34" fillId="9" borderId="72" xfId="0" applyFont="1" applyFill="1" applyBorder="1" applyAlignment="1" applyProtection="1">
      <alignment horizontal="center"/>
      <protection locked="0"/>
    </xf>
    <xf numFmtId="0" fontId="26" fillId="9" borderId="0" xfId="0" applyFont="1" applyFill="1" applyProtection="1">
      <protection locked="0"/>
    </xf>
    <xf numFmtId="0" fontId="34" fillId="9" borderId="72" xfId="0" applyFont="1" applyFill="1" applyBorder="1" applyProtection="1">
      <protection locked="0"/>
    </xf>
    <xf numFmtId="0" fontId="25" fillId="9" borderId="0" xfId="0" applyFont="1" applyFill="1" applyBorder="1" applyProtection="1"/>
    <xf numFmtId="0" fontId="34" fillId="9" borderId="72" xfId="0" applyNumberFormat="1" applyFont="1" applyFill="1" applyBorder="1" applyAlignment="1">
      <alignment horizontal="centerContinuous"/>
    </xf>
    <xf numFmtId="0" fontId="35" fillId="9" borderId="72" xfId="20" applyFont="1" applyFill="1" applyBorder="1" applyAlignment="1" applyProtection="1">
      <alignment horizontal="centerContinuous"/>
      <protection locked="0"/>
    </xf>
    <xf numFmtId="0" fontId="26" fillId="9" borderId="0" xfId="0" applyNumberFormat="1" applyFont="1" applyFill="1" applyAlignment="1" applyProtection="1">
      <alignment horizontal="center"/>
      <protection locked="0"/>
    </xf>
    <xf numFmtId="0" fontId="34" fillId="9" borderId="72" xfId="0" applyNumberFormat="1" applyFont="1" applyFill="1" applyBorder="1" applyAlignment="1" applyProtection="1">
      <alignment horizontal="center"/>
      <protection locked="0"/>
    </xf>
    <xf numFmtId="2" fontId="35" fillId="9" borderId="72" xfId="0" quotePrefix="1" applyNumberFormat="1" applyFont="1" applyFill="1" applyBorder="1" applyAlignment="1" applyProtection="1">
      <alignment horizontal="center"/>
      <protection locked="0"/>
    </xf>
    <xf numFmtId="0" fontId="26" fillId="9" borderId="0" xfId="0" applyNumberFormat="1" applyFont="1" applyFill="1" applyBorder="1" applyAlignment="1" applyProtection="1">
      <alignment horizontal="center" vertical="center"/>
      <protection locked="0"/>
    </xf>
    <xf numFmtId="0" fontId="34" fillId="9" borderId="72" xfId="0" applyNumberFormat="1" applyFont="1" applyFill="1" applyBorder="1" applyAlignment="1" applyProtection="1">
      <alignment horizontal="center" vertical="center"/>
      <protection locked="0"/>
    </xf>
    <xf numFmtId="17" fontId="35" fillId="9" borderId="72" xfId="0" applyNumberFormat="1" applyFont="1" applyFill="1" applyBorder="1" applyAlignment="1" applyProtection="1">
      <alignment horizontal="center" vertical="center"/>
      <protection locked="0"/>
    </xf>
    <xf numFmtId="16" fontId="35" fillId="9" borderId="72" xfId="0" quotePrefix="1" applyNumberFormat="1" applyFont="1" applyFill="1" applyBorder="1" applyAlignment="1" applyProtection="1">
      <alignment horizontal="center" vertical="center"/>
      <protection locked="0"/>
    </xf>
    <xf numFmtId="0" fontId="26" fillId="9" borderId="0" xfId="20" applyNumberFormat="1" applyFont="1" applyFill="1" applyBorder="1" applyAlignment="1" applyProtection="1">
      <alignment horizontal="center"/>
      <protection locked="0"/>
    </xf>
    <xf numFmtId="0" fontId="34" fillId="9" borderId="72" xfId="20" applyNumberFormat="1" applyFont="1" applyFill="1" applyBorder="1" applyAlignment="1" applyProtection="1">
      <alignment horizontal="center"/>
      <protection locked="0"/>
    </xf>
    <xf numFmtId="16" fontId="35" fillId="9" borderId="72" xfId="0" quotePrefix="1" applyNumberFormat="1" applyFont="1" applyFill="1" applyBorder="1" applyAlignment="1" applyProtection="1">
      <alignment horizontal="center"/>
      <protection locked="0"/>
    </xf>
    <xf numFmtId="0" fontId="26" fillId="9" borderId="0" xfId="0" applyNumberFormat="1" applyFont="1" applyFill="1" applyAlignment="1" applyProtection="1">
      <alignment horizontal="center"/>
    </xf>
    <xf numFmtId="0" fontId="35" fillId="9" borderId="72" xfId="0" quotePrefix="1" applyFont="1" applyFill="1" applyBorder="1" applyAlignment="1" applyProtection="1">
      <alignment horizontal="center"/>
      <protection locked="0"/>
    </xf>
    <xf numFmtId="177" fontId="9" fillId="19" borderId="35" xfId="0" applyNumberFormat="1" applyFont="1" applyFill="1" applyBorder="1" applyAlignment="1">
      <alignment horizontal="center"/>
    </xf>
    <xf numFmtId="177" fontId="0" fillId="19" borderId="36" xfId="0" applyNumberFormat="1" applyFill="1" applyBorder="1" applyAlignment="1">
      <alignment horizontal="center"/>
    </xf>
    <xf numFmtId="177" fontId="9" fillId="19" borderId="20" xfId="0" applyNumberFormat="1" applyFont="1" applyFill="1" applyBorder="1" applyAlignment="1">
      <alignment horizontal="center"/>
    </xf>
    <xf numFmtId="177" fontId="33" fillId="19" borderId="21" xfId="0" applyNumberFormat="1" applyFont="1" applyFill="1" applyBorder="1" applyAlignment="1">
      <alignment horizontal="center"/>
    </xf>
    <xf numFmtId="0" fontId="230" fillId="19" borderId="75" xfId="0" applyFont="1" applyFill="1" applyBorder="1" applyAlignment="1" applyProtection="1">
      <alignment horizontal="center"/>
    </xf>
    <xf numFmtId="0" fontId="111" fillId="19" borderId="79" xfId="0" applyFont="1" applyFill="1" applyBorder="1" applyAlignment="1" applyProtection="1">
      <alignment horizontal="center"/>
    </xf>
    <xf numFmtId="0" fontId="230" fillId="19" borderId="80" xfId="0" applyFont="1" applyFill="1" applyBorder="1" applyAlignment="1" applyProtection="1">
      <alignment horizontal="center"/>
    </xf>
    <xf numFmtId="0" fontId="111" fillId="19" borderId="81" xfId="0" applyFont="1" applyFill="1" applyBorder="1" applyAlignment="1" applyProtection="1">
      <alignment horizontal="center"/>
    </xf>
    <xf numFmtId="0" fontId="97" fillId="20" borderId="0" xfId="0" applyFont="1" applyFill="1" applyBorder="1" applyAlignment="1">
      <alignment horizontal="center" vertical="center"/>
    </xf>
    <xf numFmtId="0" fontId="26" fillId="20" borderId="0" xfId="0" applyFont="1" applyFill="1" applyBorder="1" applyAlignment="1">
      <alignment horizontal="center" vertical="center"/>
    </xf>
    <xf numFmtId="177" fontId="9" fillId="19" borderId="0" xfId="0" applyNumberFormat="1" applyFont="1" applyFill="1" applyBorder="1"/>
    <xf numFmtId="0" fontId="26" fillId="20" borderId="0" xfId="0" applyNumberFormat="1" applyFont="1" applyFill="1" applyBorder="1" applyAlignment="1" applyProtection="1">
      <alignment horizontal="center" vertical="center"/>
    </xf>
    <xf numFmtId="172" fontId="23" fillId="20" borderId="0" xfId="4" applyNumberFormat="1" applyFont="1" applyFill="1" applyBorder="1" applyAlignment="1" applyProtection="1">
      <alignment horizontal="center"/>
    </xf>
    <xf numFmtId="0" fontId="26" fillId="20" borderId="0" xfId="4" applyNumberFormat="1" applyFont="1" applyFill="1" applyBorder="1" applyAlignment="1" applyProtection="1">
      <alignment horizontal="center"/>
    </xf>
    <xf numFmtId="16" fontId="8" fillId="20" borderId="0" xfId="0" applyNumberFormat="1" applyFont="1" applyFill="1" applyBorder="1" applyAlignment="1">
      <alignment horizontal="center" vertical="center"/>
    </xf>
    <xf numFmtId="0" fontId="26" fillId="20" borderId="0" xfId="0" applyFont="1" applyFill="1" applyBorder="1" applyAlignment="1" applyProtection="1">
      <alignment horizontal="center" vertical="center"/>
    </xf>
    <xf numFmtId="0" fontId="23" fillId="20" borderId="0" xfId="4" applyNumberFormat="1" applyFont="1" applyFill="1" applyBorder="1" applyAlignment="1" applyProtection="1">
      <alignment horizontal="center"/>
    </xf>
    <xf numFmtId="0" fontId="0" fillId="20" borderId="0" xfId="0" applyFill="1" applyBorder="1"/>
    <xf numFmtId="0" fontId="74" fillId="20" borderId="0" xfId="0" applyFont="1" applyFill="1" applyBorder="1" applyAlignment="1" applyProtection="1">
      <alignment vertical="center"/>
    </xf>
    <xf numFmtId="172" fontId="78" fillId="20" borderId="0" xfId="4" applyNumberFormat="1" applyFont="1" applyFill="1" applyBorder="1" applyAlignment="1" applyProtection="1">
      <alignment horizontal="center"/>
    </xf>
    <xf numFmtId="0" fontId="27" fillId="20" borderId="0" xfId="0" applyFont="1" applyFill="1" applyBorder="1"/>
    <xf numFmtId="16" fontId="72" fillId="20" borderId="0" xfId="0" applyNumberFormat="1" applyFont="1" applyFill="1" applyBorder="1" applyAlignment="1">
      <alignment horizontal="center" vertical="center"/>
    </xf>
    <xf numFmtId="0" fontId="71" fillId="20" borderId="0" xfId="0" applyNumberFormat="1" applyFont="1" applyFill="1" applyBorder="1" applyAlignment="1" applyProtection="1">
      <alignment horizontal="center"/>
    </xf>
    <xf numFmtId="16" fontId="78" fillId="20" borderId="0" xfId="4" applyNumberFormat="1" applyFont="1" applyFill="1" applyBorder="1" applyAlignment="1" applyProtection="1">
      <alignment horizontal="center"/>
    </xf>
    <xf numFmtId="0" fontId="23" fillId="9" borderId="0" xfId="20" applyFont="1" applyFill="1" applyBorder="1" applyAlignment="1" applyProtection="1">
      <alignment horizontal="center"/>
    </xf>
    <xf numFmtId="0" fontId="229" fillId="9" borderId="0" xfId="20" applyFont="1" applyFill="1" applyBorder="1" applyAlignment="1" applyProtection="1">
      <alignment horizontal="centerContinuous"/>
    </xf>
    <xf numFmtId="16" fontId="8" fillId="9" borderId="0" xfId="0" applyNumberFormat="1" applyFont="1" applyFill="1" applyBorder="1" applyAlignment="1" applyProtection="1">
      <alignment horizontal="center" vertical="center"/>
    </xf>
    <xf numFmtId="16" fontId="8" fillId="9" borderId="0" xfId="0" quotePrefix="1" applyNumberFormat="1" applyFont="1" applyFill="1" applyBorder="1" applyAlignment="1" applyProtection="1">
      <alignment horizontal="center" vertical="center"/>
    </xf>
    <xf numFmtId="172" fontId="26" fillId="20" borderId="48" xfId="0" applyNumberFormat="1" applyFont="1" applyFill="1" applyBorder="1" applyAlignment="1">
      <alignment horizontal="center" shrinkToFit="1"/>
    </xf>
    <xf numFmtId="172" fontId="23" fillId="20" borderId="48" xfId="4" applyNumberFormat="1" applyFont="1" applyFill="1" applyBorder="1" applyAlignment="1" applyProtection="1">
      <alignment horizontal="center"/>
    </xf>
    <xf numFmtId="0" fontId="0" fillId="19" borderId="48" xfId="0" applyFill="1" applyBorder="1"/>
    <xf numFmtId="0" fontId="111" fillId="19" borderId="82" xfId="0" applyFont="1" applyFill="1" applyBorder="1" applyAlignment="1" applyProtection="1">
      <alignment horizontal="center"/>
    </xf>
    <xf numFmtId="0" fontId="0" fillId="11" borderId="83" xfId="0" applyFill="1" applyBorder="1" applyAlignment="1" applyProtection="1">
      <alignment horizontal="center"/>
      <protection locked="0"/>
    </xf>
    <xf numFmtId="0" fontId="0" fillId="4" borderId="84" xfId="0" applyFill="1" applyBorder="1" applyAlignment="1" applyProtection="1">
      <alignment horizontal="center"/>
    </xf>
    <xf numFmtId="0" fontId="25" fillId="19" borderId="0" xfId="0" applyFont="1" applyFill="1" applyBorder="1" applyAlignment="1">
      <alignment horizontal="centerContinuous"/>
    </xf>
    <xf numFmtId="0" fontId="0" fillId="0" borderId="26" xfId="0" applyBorder="1"/>
    <xf numFmtId="172" fontId="26" fillId="20" borderId="0" xfId="0" applyNumberFormat="1" applyFont="1" applyFill="1" applyBorder="1" applyAlignment="1">
      <alignment horizontal="center" shrinkToFit="1"/>
    </xf>
    <xf numFmtId="172" fontId="0" fillId="20" borderId="17" xfId="0" applyNumberFormat="1" applyFont="1" applyFill="1" applyBorder="1" applyAlignment="1">
      <alignment horizontal="center" vertical="center"/>
    </xf>
    <xf numFmtId="0" fontId="33" fillId="11" borderId="86" xfId="0" applyFont="1" applyFill="1" applyBorder="1" applyAlignment="1" applyProtection="1">
      <alignment horizontal="center"/>
      <protection locked="0"/>
    </xf>
    <xf numFmtId="0" fontId="9" fillId="11" borderId="87" xfId="0" applyFont="1" applyFill="1" applyBorder="1" applyAlignment="1" applyProtection="1">
      <alignment horizontal="center"/>
      <protection locked="0"/>
    </xf>
    <xf numFmtId="0" fontId="34" fillId="20" borderId="0" xfId="0" applyFont="1" applyFill="1" applyBorder="1" applyAlignment="1" applyProtection="1">
      <alignment horizontal="center" vertical="center"/>
    </xf>
    <xf numFmtId="0" fontId="34" fillId="20" borderId="0" xfId="4" applyNumberFormat="1" applyFont="1" applyFill="1" applyBorder="1" applyAlignment="1" applyProtection="1">
      <alignment horizontal="center"/>
    </xf>
    <xf numFmtId="0" fontId="37" fillId="20" borderId="0" xfId="4" applyNumberFormat="1" applyFont="1" applyFill="1" applyBorder="1" applyAlignment="1" applyProtection="1">
      <alignment horizontal="left"/>
    </xf>
    <xf numFmtId="0" fontId="37" fillId="20" borderId="0" xfId="4" applyNumberFormat="1" applyFont="1" applyFill="1" applyBorder="1" applyAlignment="1" applyProtection="1">
      <alignment horizontal="center"/>
    </xf>
    <xf numFmtId="0" fontId="34" fillId="20" borderId="0" xfId="0" applyNumberFormat="1" applyFont="1" applyFill="1" applyBorder="1" applyAlignment="1">
      <alignment horizontal="center" vertical="center"/>
    </xf>
    <xf numFmtId="0" fontId="26" fillId="20" borderId="0" xfId="0" applyNumberFormat="1" applyFont="1" applyFill="1" applyBorder="1" applyAlignment="1" applyProtection="1">
      <alignment horizontal="center"/>
    </xf>
    <xf numFmtId="16" fontId="8" fillId="19" borderId="0" xfId="0" applyNumberFormat="1" applyFont="1" applyFill="1" applyBorder="1" applyAlignment="1" applyProtection="1">
      <alignment horizontal="center" vertical="center"/>
    </xf>
    <xf numFmtId="0" fontId="230" fillId="19" borderId="88" xfId="0" applyFont="1" applyFill="1" applyBorder="1" applyAlignment="1" applyProtection="1">
      <alignment horizontal="center"/>
    </xf>
    <xf numFmtId="0" fontId="111" fillId="19" borderId="89" xfId="0" applyFont="1" applyFill="1" applyBorder="1" applyAlignment="1" applyProtection="1">
      <alignment horizontal="center"/>
    </xf>
    <xf numFmtId="0" fontId="26" fillId="20" borderId="0" xfId="0" applyFont="1" applyFill="1" applyBorder="1"/>
    <xf numFmtId="172" fontId="71" fillId="20" borderId="0" xfId="0" applyNumberFormat="1" applyFont="1" applyFill="1" applyBorder="1" applyAlignment="1">
      <alignment horizontal="center" shrinkToFit="1"/>
    </xf>
    <xf numFmtId="0" fontId="26" fillId="20" borderId="17" xfId="4" applyNumberFormat="1" applyFont="1" applyFill="1" applyBorder="1" applyAlignment="1" applyProtection="1">
      <alignment horizontal="center"/>
    </xf>
    <xf numFmtId="0" fontId="34" fillId="20" borderId="17" xfId="4" applyNumberFormat="1" applyFont="1" applyFill="1" applyBorder="1" applyAlignment="1" applyProtection="1">
      <alignment horizontal="center"/>
    </xf>
    <xf numFmtId="177" fontId="35" fillId="9" borderId="72" xfId="0" applyNumberFormat="1" applyFont="1" applyFill="1" applyBorder="1" applyAlignment="1">
      <alignment horizontal="centerContinuous"/>
    </xf>
    <xf numFmtId="0" fontId="35" fillId="9" borderId="72" xfId="0" applyFont="1" applyFill="1" applyBorder="1" applyAlignment="1" applyProtection="1">
      <alignment horizontal="center" vertical="center"/>
      <protection locked="0"/>
    </xf>
    <xf numFmtId="0" fontId="35" fillId="9" borderId="72" xfId="0" quotePrefix="1" applyFont="1" applyFill="1" applyBorder="1" applyAlignment="1" applyProtection="1">
      <alignment horizontal="center" vertical="center"/>
      <protection locked="0"/>
    </xf>
    <xf numFmtId="0" fontId="35" fillId="9" borderId="72" xfId="20" quotePrefix="1" applyFont="1" applyFill="1" applyBorder="1" applyAlignment="1" applyProtection="1">
      <alignment horizontal="center"/>
      <protection locked="0"/>
    </xf>
    <xf numFmtId="177" fontId="35" fillId="9" borderId="72" xfId="0" applyNumberFormat="1" applyFont="1" applyFill="1" applyBorder="1" applyAlignment="1" applyProtection="1">
      <alignment horizontal="centerContinuous"/>
      <protection locked="0"/>
    </xf>
    <xf numFmtId="0" fontId="35" fillId="9" borderId="72" xfId="20" applyFont="1" applyFill="1" applyBorder="1" applyAlignment="1" applyProtection="1">
      <alignment horizontal="center"/>
      <protection locked="0"/>
    </xf>
    <xf numFmtId="0" fontId="28" fillId="4" borderId="0" xfId="0" applyFont="1" applyFill="1" applyBorder="1" applyAlignment="1">
      <alignment horizontal="left"/>
    </xf>
    <xf numFmtId="0" fontId="4" fillId="21" borderId="0" xfId="0" applyFont="1" applyFill="1" applyBorder="1"/>
    <xf numFmtId="0" fontId="71" fillId="20" borderId="0" xfId="0" applyFont="1" applyFill="1" applyBorder="1" applyAlignment="1">
      <alignment horizontal="center"/>
    </xf>
    <xf numFmtId="0" fontId="71" fillId="21" borderId="0" xfId="0" applyFont="1" applyFill="1" applyBorder="1" applyProtection="1"/>
    <xf numFmtId="0" fontId="20" fillId="20" borderId="0" xfId="0" applyFont="1" applyFill="1" applyBorder="1" applyAlignment="1"/>
    <xf numFmtId="0" fontId="25" fillId="20" borderId="0" xfId="0" applyFont="1" applyFill="1" applyBorder="1"/>
    <xf numFmtId="172" fontId="37" fillId="20" borderId="0" xfId="0" applyNumberFormat="1" applyFont="1" applyFill="1" applyBorder="1" applyAlignment="1">
      <alignment horizontal="center" vertical="center"/>
    </xf>
    <xf numFmtId="0" fontId="77" fillId="20" borderId="0" xfId="4" applyNumberFormat="1" applyFont="1" applyFill="1" applyBorder="1" applyAlignment="1" applyProtection="1">
      <alignment horizontal="center"/>
    </xf>
    <xf numFmtId="0" fontId="78" fillId="20" borderId="0" xfId="4" applyNumberFormat="1" applyFont="1" applyFill="1" applyBorder="1" applyAlignment="1" applyProtection="1">
      <alignment horizontal="center"/>
    </xf>
    <xf numFmtId="0" fontId="4" fillId="21" borderId="0" xfId="0" applyFont="1" applyFill="1" applyBorder="1" applyProtection="1"/>
    <xf numFmtId="0" fontId="34" fillId="20" borderId="0" xfId="0" applyNumberFormat="1" applyFont="1" applyFill="1" applyBorder="1" applyAlignment="1" applyProtection="1">
      <alignment horizontal="center"/>
    </xf>
    <xf numFmtId="0" fontId="35" fillId="20" borderId="0" xfId="0" applyFont="1" applyFill="1" applyBorder="1" applyAlignment="1" applyProtection="1">
      <alignment horizontal="center"/>
    </xf>
    <xf numFmtId="0" fontId="78" fillId="21" borderId="0" xfId="0" applyFont="1" applyFill="1" applyBorder="1"/>
    <xf numFmtId="0" fontId="71" fillId="21" borderId="0" xfId="0" applyFont="1" applyFill="1" applyBorder="1"/>
    <xf numFmtId="172" fontId="79" fillId="20" borderId="0" xfId="0" applyNumberFormat="1" applyFont="1" applyFill="1" applyBorder="1" applyAlignment="1">
      <alignment horizontal="center" vertical="center"/>
    </xf>
    <xf numFmtId="2" fontId="35" fillId="20" borderId="0" xfId="0" applyNumberFormat="1" applyFont="1" applyFill="1" applyBorder="1" applyAlignment="1" applyProtection="1">
      <alignment horizontal="center"/>
    </xf>
    <xf numFmtId="0" fontId="71" fillId="20" borderId="0" xfId="0" applyFont="1" applyFill="1" applyBorder="1" applyAlignment="1">
      <alignment horizontal="center" vertical="center"/>
    </xf>
    <xf numFmtId="0" fontId="35" fillId="20" borderId="0" xfId="0" applyFont="1" applyFill="1" applyBorder="1" applyProtection="1"/>
    <xf numFmtId="16" fontId="71" fillId="20" borderId="0" xfId="0" applyNumberFormat="1" applyFont="1" applyFill="1" applyBorder="1" applyAlignment="1">
      <alignment horizontal="center" vertical="center"/>
    </xf>
    <xf numFmtId="0" fontId="39" fillId="36" borderId="0" xfId="0" applyFont="1" applyFill="1" applyBorder="1" applyProtection="1"/>
    <xf numFmtId="0" fontId="71" fillId="20" borderId="0" xfId="0" applyFont="1" applyFill="1" applyBorder="1" applyProtection="1"/>
    <xf numFmtId="172" fontId="26" fillId="20" borderId="0" xfId="0" applyNumberFormat="1" applyFont="1" applyFill="1" applyBorder="1" applyAlignment="1" applyProtection="1">
      <alignment horizontal="center"/>
    </xf>
    <xf numFmtId="172" fontId="35" fillId="20" borderId="0" xfId="0" applyNumberFormat="1" applyFont="1" applyFill="1" applyBorder="1" applyAlignment="1" applyProtection="1">
      <alignment horizontal="center"/>
    </xf>
    <xf numFmtId="0" fontId="71" fillId="20" borderId="0" xfId="0" applyFont="1" applyFill="1" applyBorder="1"/>
    <xf numFmtId="0" fontId="38" fillId="20" borderId="0" xfId="0" applyFont="1" applyFill="1" applyBorder="1"/>
    <xf numFmtId="0" fontId="26" fillId="20" borderId="0" xfId="0" applyNumberFormat="1" applyFont="1" applyFill="1" applyBorder="1" applyAlignment="1" applyProtection="1">
      <alignment horizontal="center"/>
      <protection locked="0"/>
    </xf>
    <xf numFmtId="0" fontId="34" fillId="20" borderId="0" xfId="0" applyNumberFormat="1" applyFont="1" applyFill="1" applyBorder="1" applyAlignment="1" applyProtection="1">
      <alignment horizontal="center"/>
      <protection locked="0"/>
    </xf>
    <xf numFmtId="0" fontId="35" fillId="20" borderId="0" xfId="0" applyFont="1" applyFill="1" applyBorder="1" applyProtection="1">
      <protection locked="0"/>
    </xf>
    <xf numFmtId="0" fontId="75" fillId="20" borderId="0" xfId="0" applyFont="1" applyFill="1" applyBorder="1"/>
    <xf numFmtId="0" fontId="75" fillId="19" borderId="0" xfId="0" applyFont="1" applyFill="1" applyBorder="1"/>
    <xf numFmtId="0" fontId="75" fillId="19" borderId="0" xfId="0" applyFont="1" applyFill="1" applyBorder="1" applyProtection="1"/>
    <xf numFmtId="0" fontId="14" fillId="36" borderId="0" xfId="0" applyFont="1" applyFill="1" applyBorder="1" applyProtection="1"/>
    <xf numFmtId="0" fontId="14" fillId="36" borderId="0" xfId="0" applyFont="1" applyFill="1" applyBorder="1" applyProtection="1">
      <protection locked="0"/>
    </xf>
    <xf numFmtId="0" fontId="0" fillId="36" borderId="0" xfId="0" applyFill="1" applyBorder="1" applyProtection="1">
      <protection locked="0"/>
    </xf>
    <xf numFmtId="0" fontId="0" fillId="20" borderId="0" xfId="0" applyFill="1" applyBorder="1" applyProtection="1">
      <protection locked="0"/>
    </xf>
    <xf numFmtId="0" fontId="22" fillId="20" borderId="0" xfId="0" applyFont="1" applyFill="1" applyBorder="1" applyAlignment="1" applyProtection="1">
      <alignment horizontal="center"/>
      <protection locked="0"/>
    </xf>
    <xf numFmtId="0" fontId="226" fillId="11" borderId="35" xfId="0" applyFont="1" applyFill="1" applyBorder="1"/>
    <xf numFmtId="0" fontId="0" fillId="11" borderId="20" xfId="0" applyFill="1" applyBorder="1"/>
    <xf numFmtId="0" fontId="0" fillId="4" borderId="90" xfId="0" applyFill="1" applyBorder="1" applyAlignment="1" applyProtection="1">
      <alignment horizontal="center"/>
    </xf>
    <xf numFmtId="0" fontId="9" fillId="11" borderId="91" xfId="0" applyFont="1" applyFill="1" applyBorder="1" applyAlignment="1" applyProtection="1">
      <alignment horizontal="center"/>
      <protection locked="0"/>
    </xf>
    <xf numFmtId="0" fontId="33" fillId="11" borderId="85" xfId="0" applyFont="1" applyFill="1" applyBorder="1" applyAlignment="1" applyProtection="1">
      <alignment horizontal="center"/>
      <protection locked="0"/>
    </xf>
    <xf numFmtId="0" fontId="0" fillId="11" borderId="92" xfId="0" applyFill="1" applyBorder="1" applyAlignment="1" applyProtection="1">
      <alignment horizontal="center"/>
      <protection locked="0"/>
    </xf>
    <xf numFmtId="0" fontId="0" fillId="11" borderId="93" xfId="0" applyFill="1" applyBorder="1" applyAlignment="1" applyProtection="1">
      <alignment horizontal="center"/>
      <protection locked="0"/>
    </xf>
    <xf numFmtId="0" fontId="9" fillId="11" borderId="94" xfId="0" applyFont="1" applyFill="1" applyBorder="1" applyAlignment="1" applyProtection="1">
      <alignment horizontal="center"/>
    </xf>
    <xf numFmtId="0" fontId="33" fillId="11" borderId="25" xfId="0" applyFont="1" applyFill="1" applyBorder="1" applyAlignment="1" applyProtection="1">
      <alignment horizontal="center"/>
    </xf>
    <xf numFmtId="0" fontId="53" fillId="11" borderId="21" xfId="0" applyFont="1" applyFill="1" applyBorder="1" applyAlignment="1" applyProtection="1">
      <alignment horizontal="center"/>
    </xf>
    <xf numFmtId="1" fontId="7" fillId="0" borderId="23" xfId="0" applyNumberFormat="1" applyFont="1" applyBorder="1" applyProtection="1"/>
    <xf numFmtId="2" fontId="74" fillId="11" borderId="22" xfId="0" applyNumberFormat="1" applyFont="1" applyFill="1" applyBorder="1" applyAlignment="1">
      <alignment horizontal="center"/>
    </xf>
    <xf numFmtId="2" fontId="74" fillId="11" borderId="26" xfId="0" applyNumberFormat="1" applyFont="1" applyFill="1" applyBorder="1" applyAlignment="1">
      <alignment horizontal="center"/>
    </xf>
    <xf numFmtId="2" fontId="74" fillId="11" borderId="27" xfId="0" applyNumberFormat="1" applyFont="1" applyFill="1" applyBorder="1" applyAlignment="1">
      <alignment horizontal="center"/>
    </xf>
    <xf numFmtId="172" fontId="0" fillId="20" borderId="48" xfId="0" applyNumberFormat="1" applyFill="1" applyBorder="1"/>
    <xf numFmtId="0" fontId="0" fillId="0" borderId="17" xfId="0" applyBorder="1"/>
    <xf numFmtId="0" fontId="26" fillId="3" borderId="17" xfId="0" applyFont="1" applyFill="1" applyBorder="1" applyAlignment="1">
      <alignment horizontal="center" vertical="center"/>
    </xf>
    <xf numFmtId="0" fontId="34" fillId="3" borderId="17" xfId="0" applyFont="1" applyFill="1" applyBorder="1" applyAlignment="1">
      <alignment horizontal="center" vertical="center"/>
    </xf>
    <xf numFmtId="9" fontId="0" fillId="4" borderId="0" xfId="0" applyNumberFormat="1" applyFill="1" applyAlignment="1">
      <alignment horizontal="left"/>
    </xf>
    <xf numFmtId="0" fontId="211" fillId="19" borderId="0" xfId="0" applyFont="1" applyFill="1" applyBorder="1" applyAlignment="1" applyProtection="1"/>
    <xf numFmtId="0" fontId="214" fillId="19" borderId="0" xfId="0" applyFont="1" applyFill="1" applyBorder="1" applyAlignment="1" applyProtection="1">
      <protection locked="0"/>
    </xf>
    <xf numFmtId="0" fontId="215" fillId="19" borderId="0" xfId="0" applyFont="1" applyFill="1" applyBorder="1" applyAlignment="1" applyProtection="1">
      <alignment horizontal="left"/>
      <protection locked="0"/>
    </xf>
    <xf numFmtId="0" fontId="90" fillId="9" borderId="0" xfId="0" applyFont="1" applyFill="1" applyBorder="1" applyAlignment="1">
      <alignment horizontal="center" vertical="center" wrapText="1"/>
    </xf>
    <xf numFmtId="0" fontId="0" fillId="0" borderId="0" xfId="0" applyAlignment="1">
      <alignment vertical="center" wrapText="1"/>
    </xf>
    <xf numFmtId="0" fontId="53" fillId="9" borderId="0" xfId="0" applyFont="1" applyFill="1" applyBorder="1" applyAlignment="1" applyProtection="1">
      <alignment horizontal="right" vertical="center" textRotation="90"/>
    </xf>
    <xf numFmtId="0" fontId="0" fillId="0" borderId="0" xfId="0" applyAlignment="1">
      <alignment horizontal="right" vertical="center" textRotation="90"/>
    </xf>
    <xf numFmtId="0" fontId="194" fillId="19" borderId="35" xfId="0" applyFont="1" applyFill="1" applyBorder="1" applyAlignment="1">
      <alignment horizontal="center" vertical="center" wrapText="1"/>
    </xf>
    <xf numFmtId="0" fontId="194" fillId="19" borderId="47" xfId="0" applyFont="1" applyFill="1" applyBorder="1" applyAlignment="1">
      <alignment horizontal="center" vertical="center" wrapText="1"/>
    </xf>
    <xf numFmtId="0" fontId="194" fillId="19" borderId="36" xfId="0" applyFont="1" applyFill="1" applyBorder="1" applyAlignment="1">
      <alignment horizontal="center" vertical="center" wrapText="1"/>
    </xf>
    <xf numFmtId="0" fontId="194" fillId="19" borderId="53" xfId="0" applyFont="1" applyFill="1" applyBorder="1" applyAlignment="1">
      <alignment horizontal="center" vertical="center" wrapText="1"/>
    </xf>
    <xf numFmtId="0" fontId="194" fillId="19" borderId="50" xfId="0" applyFont="1" applyFill="1" applyBorder="1" applyAlignment="1">
      <alignment horizontal="center" vertical="center" wrapText="1"/>
    </xf>
    <xf numFmtId="0" fontId="194" fillId="19" borderId="51" xfId="0" applyFont="1" applyFill="1" applyBorder="1" applyAlignment="1">
      <alignment horizontal="center" vertical="center" wrapText="1"/>
    </xf>
    <xf numFmtId="0" fontId="198" fillId="9" borderId="31" xfId="0" applyFont="1" applyFill="1" applyBorder="1" applyAlignment="1" applyProtection="1">
      <alignment horizontal="center" vertical="center" textRotation="90"/>
    </xf>
    <xf numFmtId="0" fontId="198" fillId="9" borderId="33" xfId="0" applyFont="1" applyFill="1" applyBorder="1" applyAlignment="1" applyProtection="1">
      <alignment horizontal="center" vertical="center" textRotation="90"/>
    </xf>
    <xf numFmtId="0" fontId="198" fillId="9" borderId="37" xfId="0" applyFont="1" applyFill="1" applyBorder="1" applyAlignment="1" applyProtection="1">
      <alignment horizontal="center" vertical="center" textRotation="90"/>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203" fillId="19" borderId="0" xfId="0" applyFont="1" applyFill="1" applyBorder="1" applyAlignment="1" applyProtection="1"/>
    <xf numFmtId="0" fontId="114" fillId="3" borderId="48" xfId="0" applyFont="1" applyFill="1" applyBorder="1" applyAlignment="1">
      <alignment horizontal="center"/>
    </xf>
    <xf numFmtId="0" fontId="85" fillId="0" borderId="0" xfId="0" applyFont="1" applyBorder="1" applyAlignment="1">
      <alignment horizontal="center"/>
    </xf>
    <xf numFmtId="0" fontId="85" fillId="0" borderId="49" xfId="0" applyFont="1" applyBorder="1" applyAlignment="1">
      <alignment horizontal="center"/>
    </xf>
    <xf numFmtId="0" fontId="115" fillId="3" borderId="20" xfId="0" applyFont="1" applyFill="1" applyBorder="1" applyAlignment="1">
      <alignment horizontal="center" vertical="center"/>
    </xf>
    <xf numFmtId="0" fontId="85" fillId="0" borderId="50" xfId="0" applyFont="1" applyBorder="1" applyAlignment="1">
      <alignment horizontal="center" vertical="center"/>
    </xf>
    <xf numFmtId="0" fontId="85" fillId="0" borderId="21" xfId="0" applyFont="1" applyBorder="1" applyAlignment="1">
      <alignment horizontal="center" vertical="center"/>
    </xf>
    <xf numFmtId="0" fontId="7" fillId="3" borderId="0" xfId="0" applyFont="1" applyFill="1" applyBorder="1" applyAlignment="1">
      <alignment horizontal="left"/>
    </xf>
    <xf numFmtId="0" fontId="0" fillId="4" borderId="0" xfId="0" applyFill="1" applyBorder="1" applyAlignment="1">
      <alignment horizontal="left"/>
    </xf>
    <xf numFmtId="0" fontId="0" fillId="3" borderId="1" xfId="0" applyFill="1" applyBorder="1" applyAlignment="1">
      <alignment horizontal="center"/>
    </xf>
    <xf numFmtId="0" fontId="2" fillId="19" borderId="35" xfId="14" applyFont="1" applyFill="1" applyBorder="1" applyAlignment="1">
      <alignment horizontal="center" vertical="center"/>
    </xf>
    <xf numFmtId="0" fontId="0" fillId="0" borderId="17"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3" xfId="0" applyBorder="1" applyAlignment="1">
      <alignment horizontal="center" vertical="center"/>
    </xf>
    <xf numFmtId="0" fontId="0" fillId="0" borderId="50" xfId="0" applyBorder="1" applyAlignment="1">
      <alignment horizontal="center" vertical="center"/>
    </xf>
    <xf numFmtId="0" fontId="0" fillId="0" borderId="35" xfId="0" applyBorder="1" applyAlignment="1">
      <alignment wrapText="1"/>
    </xf>
    <xf numFmtId="0" fontId="0" fillId="0" borderId="17" xfId="0" applyBorder="1" applyAlignment="1">
      <alignment wrapText="1"/>
    </xf>
    <xf numFmtId="0" fontId="0" fillId="0" borderId="36" xfId="0" applyBorder="1" applyAlignment="1">
      <alignment wrapText="1"/>
    </xf>
    <xf numFmtId="0" fontId="0" fillId="0" borderId="53" xfId="0" applyBorder="1" applyAlignment="1">
      <alignment wrapText="1"/>
    </xf>
    <xf numFmtId="0" fontId="0" fillId="0" borderId="50" xfId="0" applyBorder="1" applyAlignment="1">
      <alignment wrapText="1"/>
    </xf>
    <xf numFmtId="0" fontId="0" fillId="0" borderId="51" xfId="0" applyBorder="1" applyAlignment="1">
      <alignment wrapText="1"/>
    </xf>
    <xf numFmtId="0" fontId="38" fillId="0" borderId="22" xfId="0" applyFont="1" applyBorder="1" applyAlignment="1">
      <alignment horizontal="center" wrapText="1"/>
    </xf>
    <xf numFmtId="0" fontId="38" fillId="0" borderId="26" xfId="0" applyFont="1" applyBorder="1" applyAlignment="1">
      <alignment horizontal="center" wrapText="1"/>
    </xf>
    <xf numFmtId="0" fontId="176" fillId="19" borderId="35" xfId="12" applyFont="1" applyFill="1" applyBorder="1" applyAlignment="1">
      <alignment textRotation="90"/>
    </xf>
    <xf numFmtId="0" fontId="53" fillId="0" borderId="48" xfId="0" applyFont="1" applyBorder="1" applyAlignment="1">
      <alignment textRotation="90"/>
    </xf>
    <xf numFmtId="0" fontId="2" fillId="19" borderId="48" xfId="14" applyFont="1" applyFill="1" applyBorder="1" applyAlignment="1">
      <alignment horizontal="center" vertical="center"/>
    </xf>
    <xf numFmtId="0" fontId="170" fillId="19" borderId="35" xfId="0" applyFont="1" applyFill="1" applyBorder="1" applyAlignment="1">
      <alignment vertical="center" wrapText="1"/>
    </xf>
    <xf numFmtId="0" fontId="170" fillId="0" borderId="17" xfId="0" applyFont="1" applyBorder="1" applyAlignment="1">
      <alignment vertical="center" wrapText="1"/>
    </xf>
    <xf numFmtId="0" fontId="170" fillId="0" borderId="36" xfId="0" applyFont="1" applyBorder="1" applyAlignment="1">
      <alignment vertical="center" wrapText="1"/>
    </xf>
    <xf numFmtId="0" fontId="170" fillId="0" borderId="48" xfId="0" applyFont="1" applyBorder="1" applyAlignment="1">
      <alignment vertical="center" wrapText="1"/>
    </xf>
    <xf numFmtId="0" fontId="170" fillId="0" borderId="0" xfId="0" applyFont="1" applyAlignment="1">
      <alignment vertical="center" wrapText="1"/>
    </xf>
    <xf numFmtId="0" fontId="170" fillId="0" borderId="49" xfId="0" applyFont="1" applyBorder="1" applyAlignment="1">
      <alignment vertical="center" wrapText="1"/>
    </xf>
    <xf numFmtId="0" fontId="170" fillId="0" borderId="53" xfId="0" applyFont="1" applyBorder="1" applyAlignment="1">
      <alignment vertical="center" wrapText="1"/>
    </xf>
    <xf numFmtId="0" fontId="170" fillId="0" borderId="50" xfId="0" applyFont="1" applyBorder="1" applyAlignment="1">
      <alignment vertical="center" wrapText="1"/>
    </xf>
    <xf numFmtId="0" fontId="170" fillId="0" borderId="51" xfId="0" applyFont="1" applyBorder="1" applyAlignment="1">
      <alignment vertical="center" wrapText="1"/>
    </xf>
    <xf numFmtId="0" fontId="125" fillId="19" borderId="0" xfId="14" applyFont="1" applyFill="1" applyBorder="1" applyAlignment="1" applyProtection="1">
      <alignment horizontal="center" vertical="center" wrapText="1"/>
    </xf>
    <xf numFmtId="0" fontId="0" fillId="0" borderId="0" xfId="0" applyBorder="1" applyAlignment="1">
      <alignment horizontal="center" wrapText="1"/>
    </xf>
    <xf numFmtId="0" fontId="171" fillId="23" borderId="0" xfId="12" applyFont="1" applyFill="1" applyBorder="1" applyAlignment="1" applyProtection="1">
      <alignment horizontal="left" vertical="center" wrapText="1"/>
      <protection locked="0"/>
    </xf>
    <xf numFmtId="0" fontId="172" fillId="23" borderId="0" xfId="12" applyFont="1" applyFill="1" applyBorder="1" applyAlignment="1" applyProtection="1">
      <alignment horizontal="left" vertical="center" wrapText="1"/>
      <protection locked="0"/>
    </xf>
    <xf numFmtId="0" fontId="173" fillId="19" borderId="35" xfId="14" applyFont="1" applyFill="1" applyBorder="1" applyAlignment="1">
      <alignment horizontal="center" vertical="center" wrapText="1"/>
    </xf>
    <xf numFmtId="0" fontId="14" fillId="0" borderId="17"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0" xfId="0" applyFont="1" applyAlignment="1">
      <alignment horizontal="center" vertical="center" wrapText="1"/>
    </xf>
    <xf numFmtId="0" fontId="14" fillId="0" borderId="53" xfId="0" applyFont="1" applyBorder="1" applyAlignment="1">
      <alignment horizontal="center" vertical="center" wrapText="1"/>
    </xf>
    <xf numFmtId="0" fontId="14" fillId="0" borderId="50" xfId="0" applyFont="1" applyBorder="1" applyAlignment="1">
      <alignment horizontal="center" vertical="center" wrapText="1"/>
    </xf>
    <xf numFmtId="0" fontId="170" fillId="19" borderId="17" xfId="0" applyFont="1" applyFill="1" applyBorder="1" applyAlignment="1">
      <alignment vertical="center" wrapText="1"/>
    </xf>
    <xf numFmtId="0" fontId="170" fillId="19" borderId="36" xfId="0" applyFont="1" applyFill="1" applyBorder="1" applyAlignment="1">
      <alignment vertical="center" wrapText="1"/>
    </xf>
    <xf numFmtId="0" fontId="170" fillId="19" borderId="48" xfId="0" applyFont="1" applyFill="1" applyBorder="1" applyAlignment="1">
      <alignment vertical="center" wrapText="1"/>
    </xf>
    <xf numFmtId="0" fontId="170" fillId="19" borderId="0" xfId="0" applyFont="1" applyFill="1" applyBorder="1" applyAlignment="1">
      <alignment vertical="center" wrapText="1"/>
    </xf>
    <xf numFmtId="0" fontId="170" fillId="19" borderId="49" xfId="0" applyFont="1" applyFill="1" applyBorder="1" applyAlignment="1">
      <alignment vertical="center" wrapText="1"/>
    </xf>
    <xf numFmtId="0" fontId="170" fillId="19" borderId="53" xfId="0" applyFont="1" applyFill="1" applyBorder="1" applyAlignment="1">
      <alignment vertical="center" wrapText="1"/>
    </xf>
    <xf numFmtId="0" fontId="170" fillId="19" borderId="50" xfId="0" applyFont="1" applyFill="1" applyBorder="1" applyAlignment="1">
      <alignment vertical="center" wrapText="1"/>
    </xf>
    <xf numFmtId="0" fontId="170" fillId="19" borderId="51" xfId="0" applyFont="1" applyFill="1" applyBorder="1" applyAlignment="1">
      <alignment vertical="center" wrapText="1"/>
    </xf>
    <xf numFmtId="0" fontId="168" fillId="0" borderId="48" xfId="0" applyFont="1" applyBorder="1" applyAlignment="1">
      <alignment vertical="center" wrapText="1"/>
    </xf>
    <xf numFmtId="0" fontId="53" fillId="0" borderId="0" xfId="0" applyFont="1"/>
    <xf numFmtId="0" fontId="53" fillId="0" borderId="49" xfId="0" applyFont="1" applyBorder="1"/>
    <xf numFmtId="0" fontId="53" fillId="0" borderId="48" xfId="0" applyFont="1" applyBorder="1"/>
    <xf numFmtId="0" fontId="53" fillId="0" borderId="53" xfId="0" applyFont="1" applyBorder="1"/>
    <xf numFmtId="0" fontId="53" fillId="0" borderId="50" xfId="0" applyFont="1" applyBorder="1"/>
    <xf numFmtId="0" fontId="53" fillId="0" borderId="51" xfId="0" applyFont="1" applyBorder="1"/>
    <xf numFmtId="0" fontId="158" fillId="23" borderId="0" xfId="12" applyFont="1" applyFill="1" applyBorder="1" applyAlignment="1" applyProtection="1">
      <alignment horizontal="left" vertical="center" wrapText="1"/>
      <protection locked="0"/>
    </xf>
    <xf numFmtId="0" fontId="2" fillId="23" borderId="0" xfId="12" applyFont="1" applyFill="1" applyBorder="1" applyAlignment="1" applyProtection="1">
      <alignment horizontal="left" vertical="center" wrapText="1"/>
      <protection locked="0"/>
    </xf>
    <xf numFmtId="0" fontId="0" fillId="19" borderId="35" xfId="0" applyFill="1" applyBorder="1" applyAlignment="1">
      <alignment horizontal="center" wrapText="1"/>
    </xf>
    <xf numFmtId="0" fontId="0" fillId="0" borderId="17" xfId="0" applyBorder="1" applyAlignment="1">
      <alignment horizontal="center" wrapText="1"/>
    </xf>
    <xf numFmtId="0" fontId="0" fillId="0" borderId="36" xfId="0" applyBorder="1" applyAlignment="1">
      <alignment horizontal="center" wrapText="1"/>
    </xf>
    <xf numFmtId="0" fontId="0" fillId="0" borderId="48" xfId="0" applyBorder="1" applyAlignment="1">
      <alignment horizontal="center" wrapText="1"/>
    </xf>
    <xf numFmtId="0" fontId="0" fillId="0" borderId="49" xfId="0" applyBorder="1" applyAlignment="1">
      <alignment horizontal="center" wrapText="1"/>
    </xf>
    <xf numFmtId="0" fontId="0" fillId="0" borderId="53" xfId="0" applyBorder="1" applyAlignment="1">
      <alignment horizontal="center" wrapText="1"/>
    </xf>
    <xf numFmtId="0" fontId="0" fillId="0" borderId="50" xfId="0" applyBorder="1" applyAlignment="1">
      <alignment horizontal="center" wrapText="1"/>
    </xf>
    <xf numFmtId="0" fontId="0" fillId="0" borderId="51" xfId="0" applyBorder="1" applyAlignment="1">
      <alignment horizontal="center" wrapText="1"/>
    </xf>
    <xf numFmtId="0" fontId="167" fillId="23" borderId="0" xfId="12" applyFont="1" applyFill="1" applyBorder="1" applyAlignment="1" applyProtection="1">
      <alignment horizontal="left" vertical="center" wrapText="1"/>
      <protection locked="0"/>
    </xf>
    <xf numFmtId="0" fontId="169" fillId="23" borderId="0" xfId="12" applyFont="1" applyFill="1" applyBorder="1" applyAlignment="1" applyProtection="1">
      <alignment horizontal="left" vertical="center" wrapText="1"/>
      <protection locked="0"/>
    </xf>
    <xf numFmtId="0" fontId="2" fillId="19" borderId="48" xfId="14" applyFont="1" applyFill="1" applyBorder="1" applyAlignment="1">
      <alignment horizontal="center" vertical="center" wrapText="1"/>
    </xf>
    <xf numFmtId="0" fontId="0" fillId="0" borderId="0" xfId="0" applyAlignment="1">
      <alignment horizontal="center" vertical="center" wrapText="1"/>
    </xf>
    <xf numFmtId="0" fontId="0" fillId="0" borderId="48" xfId="0" applyBorder="1" applyAlignment="1">
      <alignment horizontal="center" vertical="center" wrapText="1"/>
    </xf>
    <xf numFmtId="0" fontId="0" fillId="0" borderId="0" xfId="0" applyBorder="1" applyAlignment="1">
      <alignment horizontal="center" vertical="center" wrapText="1"/>
    </xf>
    <xf numFmtId="0" fontId="0" fillId="0" borderId="53" xfId="0" applyBorder="1" applyAlignment="1">
      <alignment vertical="center"/>
    </xf>
    <xf numFmtId="0" fontId="0" fillId="0" borderId="50" xfId="0" applyBorder="1" applyAlignment="1">
      <alignment vertical="center"/>
    </xf>
    <xf numFmtId="0" fontId="0" fillId="19" borderId="35" xfId="0" applyFill="1" applyBorder="1" applyAlignment="1">
      <alignment wrapText="1"/>
    </xf>
    <xf numFmtId="0" fontId="0" fillId="0" borderId="48" xfId="0" applyBorder="1" applyAlignment="1">
      <alignment wrapText="1"/>
    </xf>
    <xf numFmtId="0" fontId="0" fillId="0" borderId="0" xfId="0" applyBorder="1" applyAlignment="1">
      <alignment wrapText="1"/>
    </xf>
    <xf numFmtId="0" fontId="0" fillId="0" borderId="49" xfId="0" applyBorder="1" applyAlignment="1">
      <alignment wrapText="1"/>
    </xf>
    <xf numFmtId="1" fontId="124" fillId="19" borderId="48" xfId="12" applyNumberFormat="1" applyFont="1" applyFill="1" applyBorder="1" applyAlignment="1">
      <alignment vertical="center" shrinkToFit="1"/>
    </xf>
    <xf numFmtId="0" fontId="0" fillId="0" borderId="0" xfId="0" applyAlignment="1">
      <alignment vertical="center" shrinkToFit="1"/>
    </xf>
    <xf numFmtId="0" fontId="0" fillId="0" borderId="0" xfId="0" applyBorder="1" applyAlignment="1">
      <alignment vertical="center" shrinkToFit="1"/>
    </xf>
    <xf numFmtId="0" fontId="0" fillId="0" borderId="49" xfId="0" applyBorder="1" applyAlignment="1">
      <alignment vertical="center" shrinkToFit="1"/>
    </xf>
    <xf numFmtId="0" fontId="130" fillId="19" borderId="0" xfId="12" applyFont="1" applyFill="1" applyBorder="1" applyAlignment="1" applyProtection="1">
      <alignment vertical="center" wrapText="1"/>
    </xf>
    <xf numFmtId="0" fontId="131" fillId="0" borderId="0" xfId="0" applyFont="1" applyBorder="1" applyAlignment="1">
      <alignment vertical="center" wrapText="1"/>
    </xf>
    <xf numFmtId="0" fontId="0" fillId="0" borderId="53" xfId="0" applyBorder="1" applyAlignment="1">
      <alignment horizontal="center" vertical="center" wrapText="1"/>
    </xf>
    <xf numFmtId="0" fontId="0" fillId="0" borderId="50" xfId="0" applyBorder="1" applyAlignment="1">
      <alignment horizontal="center" vertical="center" wrapText="1"/>
    </xf>
    <xf numFmtId="0" fontId="0" fillId="19" borderId="48" xfId="0" applyFill="1" applyBorder="1" applyAlignment="1"/>
    <xf numFmtId="0" fontId="0" fillId="0" borderId="0" xfId="0" applyAlignment="1"/>
    <xf numFmtId="0" fontId="0" fillId="0" borderId="49" xfId="0" applyBorder="1" applyAlignment="1"/>
    <xf numFmtId="0" fontId="0" fillId="0" borderId="48" xfId="0" applyBorder="1" applyAlignment="1"/>
    <xf numFmtId="0" fontId="0" fillId="0" borderId="53" xfId="0" applyBorder="1" applyAlignment="1"/>
    <xf numFmtId="0" fontId="0" fillId="0" borderId="50" xfId="0" applyBorder="1" applyAlignment="1"/>
    <xf numFmtId="0" fontId="0" fillId="0" borderId="51" xfId="0" applyBorder="1" applyAlignment="1"/>
    <xf numFmtId="0" fontId="40" fillId="23" borderId="0" xfId="0" applyFont="1" applyFill="1" applyBorder="1" applyProtection="1">
      <protection locked="0"/>
    </xf>
    <xf numFmtId="0" fontId="0" fillId="4" borderId="0" xfId="0" applyFont="1" applyFill="1" applyAlignment="1">
      <alignment horizontal="left"/>
    </xf>
    <xf numFmtId="177" fontId="9" fillId="11" borderId="0" xfId="0" applyNumberFormat="1" applyFont="1" applyFill="1" applyBorder="1" applyAlignment="1">
      <alignment horizontal="center"/>
    </xf>
    <xf numFmtId="0" fontId="0" fillId="0" borderId="0" xfId="0" applyBorder="1" applyAlignment="1"/>
    <xf numFmtId="0" fontId="0" fillId="0" borderId="72" xfId="0" applyBorder="1" applyAlignment="1"/>
    <xf numFmtId="0" fontId="227" fillId="11" borderId="48" xfId="0" applyFont="1" applyFill="1" applyBorder="1" applyAlignment="1">
      <alignment horizontal="center" wrapText="1"/>
    </xf>
    <xf numFmtId="0" fontId="4" fillId="21" borderId="0" xfId="0" applyFont="1" applyFill="1" applyBorder="1" applyAlignment="1"/>
    <xf numFmtId="0" fontId="4" fillId="19" borderId="0" xfId="0" applyFont="1" applyFill="1" applyBorder="1" applyAlignment="1" applyProtection="1"/>
    <xf numFmtId="0" fontId="4" fillId="21" borderId="0" xfId="0" applyFont="1" applyFill="1" applyBorder="1" applyAlignment="1" applyProtection="1"/>
    <xf numFmtId="0" fontId="36" fillId="20" borderId="17" xfId="4" applyNumberFormat="1" applyFont="1" applyFill="1" applyBorder="1" applyAlignment="1" applyProtection="1">
      <alignment horizontal="center"/>
    </xf>
    <xf numFmtId="0" fontId="71" fillId="21" borderId="0" xfId="0" applyFont="1" applyFill="1" applyBorder="1" applyAlignment="1" applyProtection="1"/>
    <xf numFmtId="172" fontId="77" fillId="20" borderId="0" xfId="0" applyNumberFormat="1" applyFont="1" applyFill="1" applyBorder="1" applyAlignment="1">
      <alignment horizontal="center"/>
    </xf>
    <xf numFmtId="0" fontId="77" fillId="20" borderId="0" xfId="4" applyNumberFormat="1" applyFont="1" applyFill="1" applyBorder="1" applyAlignment="1" applyProtection="1">
      <alignment horizontal="center"/>
    </xf>
    <xf numFmtId="0" fontId="36" fillId="20" borderId="0" xfId="4" applyNumberFormat="1" applyFont="1" applyFill="1" applyBorder="1" applyAlignment="1" applyProtection="1">
      <alignment horizontal="center"/>
    </xf>
    <xf numFmtId="0" fontId="74" fillId="36" borderId="0" xfId="0" applyFont="1" applyFill="1" applyBorder="1" applyAlignment="1" applyProtection="1">
      <alignment horizontal="center"/>
      <protection locked="0"/>
    </xf>
    <xf numFmtId="0" fontId="22" fillId="36" borderId="0" xfId="0" applyFont="1" applyFill="1" applyBorder="1" applyAlignment="1" applyProtection="1">
      <alignment horizontal="center"/>
      <protection locked="0"/>
    </xf>
    <xf numFmtId="0" fontId="71" fillId="21" borderId="0" xfId="0" applyFont="1" applyFill="1" applyBorder="1" applyAlignment="1"/>
    <xf numFmtId="0" fontId="4" fillId="4" borderId="0" xfId="0" applyFont="1" applyFill="1" applyBorder="1" applyAlignment="1">
      <alignment horizontal="left"/>
    </xf>
    <xf numFmtId="0" fontId="0" fillId="0" borderId="0" xfId="0" applyAlignment="1">
      <alignment horizontal="left"/>
    </xf>
    <xf numFmtId="0" fontId="40" fillId="36" borderId="0" xfId="0" applyFont="1" applyFill="1" applyBorder="1" applyAlignment="1" applyProtection="1">
      <alignment wrapText="1"/>
    </xf>
    <xf numFmtId="0" fontId="0" fillId="19" borderId="0" xfId="0" applyFill="1" applyBorder="1" applyAlignment="1">
      <alignment wrapText="1"/>
    </xf>
    <xf numFmtId="0" fontId="25" fillId="6" borderId="0" xfId="0" applyFont="1" applyFill="1" applyBorder="1" applyAlignment="1">
      <alignment horizontal="center"/>
    </xf>
    <xf numFmtId="0" fontId="20" fillId="6" borderId="0" xfId="0" applyFont="1" applyFill="1" applyBorder="1" applyAlignment="1">
      <alignment horizontal="center"/>
    </xf>
    <xf numFmtId="0" fontId="7" fillId="6" borderId="0" xfId="0" applyFont="1" applyFill="1" applyBorder="1" applyAlignment="1">
      <alignment horizontal="center"/>
    </xf>
    <xf numFmtId="0" fontId="11" fillId="6" borderId="2" xfId="0" applyFont="1" applyFill="1" applyBorder="1" applyAlignment="1">
      <alignment horizontal="center"/>
    </xf>
    <xf numFmtId="0" fontId="76" fillId="3" borderId="0" xfId="0" applyFont="1" applyFill="1" applyAlignment="1">
      <alignment wrapText="1"/>
    </xf>
    <xf numFmtId="0" fontId="76" fillId="0" borderId="0" xfId="0" applyFont="1" applyAlignment="1">
      <alignment wrapText="1"/>
    </xf>
    <xf numFmtId="0" fontId="4" fillId="3" borderId="0" xfId="0" applyFont="1" applyFill="1" applyBorder="1" applyAlignment="1">
      <alignment wrapText="1"/>
    </xf>
    <xf numFmtId="0" fontId="4" fillId="3" borderId="0" xfId="0" applyFont="1" applyFill="1" applyBorder="1" applyAlignment="1">
      <alignment horizontal="left" wrapText="1"/>
    </xf>
    <xf numFmtId="0" fontId="0" fillId="0" borderId="0" xfId="0" applyAlignment="1">
      <alignment wrapText="1"/>
    </xf>
    <xf numFmtId="0" fontId="4" fillId="3" borderId="0" xfId="0" applyFont="1" applyFill="1" applyAlignment="1">
      <alignment wrapText="1"/>
    </xf>
    <xf numFmtId="0" fontId="74" fillId="9" borderId="18" xfId="6" applyFont="1" applyFill="1" applyBorder="1" applyAlignment="1">
      <alignment horizontal="left" wrapText="1"/>
    </xf>
    <xf numFmtId="0" fontId="3" fillId="9" borderId="0" xfId="6" applyFill="1" applyBorder="1" applyAlignment="1">
      <alignment wrapText="1"/>
    </xf>
    <xf numFmtId="0" fontId="3" fillId="9" borderId="19" xfId="6" applyFill="1" applyBorder="1" applyAlignment="1">
      <alignment wrapText="1"/>
    </xf>
    <xf numFmtId="0" fontId="20" fillId="9" borderId="18" xfId="6" applyFont="1" applyFill="1" applyBorder="1" applyAlignment="1">
      <alignment horizontal="center" vertical="distributed" textRotation="90" wrapText="1"/>
    </xf>
    <xf numFmtId="0" fontId="20" fillId="9" borderId="18" xfId="6" applyFont="1" applyFill="1" applyBorder="1" applyAlignment="1">
      <alignment horizontal="center" vertical="center" textRotation="90" wrapText="1"/>
    </xf>
    <xf numFmtId="0" fontId="1" fillId="0" borderId="0" xfId="21"/>
    <xf numFmtId="0" fontId="47" fillId="3" borderId="0" xfId="21" applyFont="1" applyFill="1" applyAlignment="1">
      <alignment horizontal="left"/>
    </xf>
    <xf numFmtId="0" fontId="47" fillId="3" borderId="0" xfId="21" applyFont="1" applyFill="1" applyAlignment="1">
      <alignment horizontal="center"/>
    </xf>
    <xf numFmtId="0" fontId="232" fillId="6" borderId="28" xfId="13" applyFont="1" applyFill="1" applyBorder="1" applyAlignment="1">
      <alignment horizontal="center"/>
    </xf>
    <xf numFmtId="0" fontId="3" fillId="35" borderId="28" xfId="13" applyFill="1" applyBorder="1" applyAlignment="1">
      <alignment horizontal="left"/>
    </xf>
    <xf numFmtId="0" fontId="11" fillId="35" borderId="28" xfId="13" applyFont="1" applyFill="1" applyBorder="1" applyAlignment="1">
      <alignment horizontal="center"/>
    </xf>
    <xf numFmtId="0" fontId="3" fillId="37" borderId="28" xfId="13" applyFill="1" applyBorder="1" applyAlignment="1">
      <alignment horizontal="left"/>
    </xf>
    <xf numFmtId="0" fontId="3" fillId="37" borderId="28" xfId="13" applyFill="1" applyBorder="1" applyAlignment="1">
      <alignment horizontal="center"/>
    </xf>
    <xf numFmtId="0" fontId="234" fillId="37" borderId="28" xfId="13" applyFont="1" applyFill="1" applyBorder="1" applyAlignment="1">
      <alignment horizontal="left"/>
    </xf>
    <xf numFmtId="174" fontId="11" fillId="37" borderId="28" xfId="13" applyNumberFormat="1" applyFont="1" applyFill="1" applyBorder="1" applyAlignment="1">
      <alignment horizontal="center"/>
    </xf>
    <xf numFmtId="174" fontId="49" fillId="37" borderId="28" xfId="13" applyNumberFormat="1" applyFont="1" applyFill="1" applyBorder="1" applyAlignment="1">
      <alignment horizontal="center"/>
    </xf>
    <xf numFmtId="0" fontId="234" fillId="38" borderId="28" xfId="13" applyFont="1" applyFill="1" applyBorder="1" applyAlignment="1">
      <alignment horizontal="left"/>
    </xf>
    <xf numFmtId="174" fontId="3" fillId="37" borderId="28" xfId="13" applyNumberFormat="1" applyFont="1" applyFill="1" applyBorder="1" applyAlignment="1">
      <alignment horizontal="center"/>
    </xf>
    <xf numFmtId="181" fontId="3" fillId="37" borderId="28" xfId="13" applyNumberFormat="1" applyFont="1" applyFill="1" applyBorder="1" applyAlignment="1">
      <alignment horizontal="center"/>
    </xf>
    <xf numFmtId="0" fontId="8" fillId="37" borderId="28" xfId="13" applyFont="1" applyFill="1" applyBorder="1" applyAlignment="1">
      <alignment horizontal="left"/>
    </xf>
    <xf numFmtId="174" fontId="54" fillId="37" borderId="28" xfId="13" applyNumberFormat="1" applyFont="1" applyFill="1" applyBorder="1" applyAlignment="1">
      <alignment horizontal="right"/>
    </xf>
    <xf numFmtId="0" fontId="145" fillId="39" borderId="28" xfId="21" applyFont="1" applyFill="1" applyBorder="1"/>
    <xf numFmtId="0" fontId="1" fillId="39" borderId="28" xfId="21" applyFill="1" applyBorder="1"/>
    <xf numFmtId="174" fontId="14" fillId="37" borderId="28" xfId="13" applyNumberFormat="1" applyFont="1" applyFill="1" applyBorder="1" applyAlignment="1">
      <alignment horizontal="center"/>
    </xf>
    <xf numFmtId="174" fontId="8" fillId="37" borderId="28" xfId="13" applyNumberFormat="1" applyFont="1" applyFill="1" applyBorder="1" applyAlignment="1">
      <alignment horizontal="right"/>
    </xf>
    <xf numFmtId="174" fontId="11" fillId="37" borderId="28" xfId="13" applyNumberFormat="1" applyFont="1" applyFill="1" applyBorder="1" applyAlignment="1" applyProtection="1">
      <alignment horizontal="center"/>
      <protection locked="0"/>
    </xf>
    <xf numFmtId="0" fontId="3" fillId="37" borderId="28" xfId="13" applyFont="1" applyFill="1" applyBorder="1" applyAlignment="1">
      <alignment horizontal="left"/>
    </xf>
    <xf numFmtId="174" fontId="235" fillId="37" borderId="28" xfId="13" applyNumberFormat="1" applyFont="1" applyFill="1" applyBorder="1" applyAlignment="1">
      <alignment horizontal="right"/>
    </xf>
    <xf numFmtId="174" fontId="54" fillId="37" borderId="28" xfId="13" applyNumberFormat="1" applyFont="1" applyFill="1" applyBorder="1" applyAlignment="1" applyProtection="1">
      <alignment horizontal="right"/>
    </xf>
    <xf numFmtId="174" fontId="14" fillId="37" borderId="28" xfId="13" applyNumberFormat="1" applyFont="1" applyFill="1" applyBorder="1" applyAlignment="1" applyProtection="1">
      <alignment horizontal="center"/>
      <protection locked="0"/>
    </xf>
    <xf numFmtId="174" fontId="8" fillId="37" borderId="28" xfId="13" applyNumberFormat="1" applyFont="1" applyFill="1" applyBorder="1" applyAlignment="1" applyProtection="1">
      <alignment horizontal="right"/>
      <protection locked="0"/>
    </xf>
    <xf numFmtId="0" fontId="236" fillId="39" borderId="28" xfId="21" applyFont="1" applyFill="1" applyBorder="1"/>
    <xf numFmtId="0" fontId="8" fillId="37" borderId="28" xfId="13" applyFont="1" applyFill="1" applyBorder="1" applyAlignment="1" applyProtection="1">
      <alignment horizontal="left"/>
      <protection locked="0"/>
    </xf>
    <xf numFmtId="174" fontId="3" fillId="37" borderId="28" xfId="13" applyNumberFormat="1" applyFont="1" applyFill="1" applyBorder="1" applyAlignment="1" applyProtection="1">
      <alignment horizontal="center"/>
      <protection locked="0"/>
    </xf>
    <xf numFmtId="174" fontId="8" fillId="37" borderId="28" xfId="13" applyNumberFormat="1" applyFont="1" applyFill="1" applyBorder="1" applyAlignment="1" applyProtection="1">
      <alignment horizontal="center"/>
      <protection locked="0"/>
    </xf>
    <xf numFmtId="0" fontId="1" fillId="39" borderId="0" xfId="21" applyFill="1"/>
    <xf numFmtId="174" fontId="237" fillId="37" borderId="28" xfId="13" applyNumberFormat="1" applyFont="1" applyFill="1" applyBorder="1" applyAlignment="1">
      <alignment horizontal="center"/>
    </xf>
    <xf numFmtId="0" fontId="11" fillId="38" borderId="28" xfId="13" applyFont="1" applyFill="1" applyBorder="1" applyAlignment="1">
      <alignment horizontal="left"/>
    </xf>
    <xf numFmtId="0" fontId="231" fillId="40" borderId="28" xfId="21" applyFont="1" applyFill="1" applyBorder="1"/>
    <xf numFmtId="181" fontId="231" fillId="39" borderId="28" xfId="21" applyNumberFormat="1" applyFont="1" applyFill="1" applyBorder="1" applyAlignment="1">
      <alignment horizontal="center"/>
    </xf>
    <xf numFmtId="181" fontId="1" fillId="39" borderId="28" xfId="21" applyNumberFormat="1" applyFill="1" applyBorder="1" applyAlignment="1">
      <alignment horizontal="center"/>
    </xf>
    <xf numFmtId="174" fontId="238" fillId="37" borderId="28" xfId="13" applyNumberFormat="1" applyFont="1" applyFill="1" applyBorder="1" applyAlignment="1">
      <alignment horizontal="right"/>
    </xf>
    <xf numFmtId="174" fontId="8" fillId="37" borderId="28" xfId="13" applyNumberFormat="1" applyFont="1" applyFill="1" applyBorder="1" applyAlignment="1">
      <alignment horizontal="center"/>
    </xf>
    <xf numFmtId="174" fontId="231" fillId="39" borderId="28" xfId="21" applyNumberFormat="1" applyFont="1" applyFill="1" applyBorder="1"/>
    <xf numFmtId="174" fontId="239" fillId="37" borderId="28" xfId="13" applyNumberFormat="1" applyFont="1" applyFill="1" applyBorder="1" applyAlignment="1" applyProtection="1">
      <protection locked="0"/>
    </xf>
    <xf numFmtId="181" fontId="240" fillId="39" borderId="28" xfId="21" applyNumberFormat="1" applyFont="1" applyFill="1" applyBorder="1" applyAlignment="1"/>
    <xf numFmtId="174" fontId="54" fillId="37" borderId="28" xfId="13" applyNumberFormat="1" applyFont="1" applyFill="1" applyBorder="1" applyAlignment="1" applyProtection="1">
      <alignment horizontal="right"/>
      <protection locked="0"/>
    </xf>
    <xf numFmtId="174" fontId="239" fillId="37" borderId="28" xfId="13" applyNumberFormat="1" applyFont="1" applyFill="1" applyBorder="1" applyAlignment="1"/>
    <xf numFmtId="174" fontId="54" fillId="37" borderId="28" xfId="13" applyNumberFormat="1" applyFont="1" applyFill="1" applyBorder="1" applyAlignment="1"/>
    <xf numFmtId="181" fontId="241" fillId="39" borderId="28" xfId="21" applyNumberFormat="1" applyFont="1" applyFill="1" applyBorder="1"/>
    <xf numFmtId="181" fontId="11" fillId="37" borderId="28" xfId="13" applyNumberFormat="1" applyFont="1" applyFill="1" applyBorder="1" applyAlignment="1">
      <alignment horizontal="center"/>
    </xf>
    <xf numFmtId="181" fontId="3" fillId="39" borderId="28" xfId="21" applyNumberFormat="1" applyFont="1" applyFill="1" applyBorder="1" applyAlignment="1">
      <alignment horizontal="center"/>
    </xf>
    <xf numFmtId="0" fontId="242" fillId="39" borderId="28" xfId="21" applyFont="1" applyFill="1" applyBorder="1" applyAlignment="1">
      <alignment horizontal="center"/>
    </xf>
    <xf numFmtId="0" fontId="3" fillId="37" borderId="28" xfId="13" applyFont="1" applyFill="1" applyBorder="1" applyAlignment="1" applyProtection="1">
      <alignment horizontal="left"/>
      <protection locked="0"/>
    </xf>
    <xf numFmtId="174" fontId="238" fillId="37" borderId="28" xfId="13" applyNumberFormat="1" applyFont="1" applyFill="1" applyBorder="1" applyAlignment="1"/>
    <xf numFmtId="174" fontId="11" fillId="37" borderId="28" xfId="13" applyNumberFormat="1" applyFont="1" applyFill="1" applyBorder="1" applyAlignment="1" applyProtection="1">
      <alignment horizontal="center"/>
    </xf>
    <xf numFmtId="174" fontId="243" fillId="37" borderId="28" xfId="13" applyNumberFormat="1" applyFont="1" applyFill="1" applyBorder="1" applyAlignment="1">
      <alignment horizontal="right"/>
    </xf>
    <xf numFmtId="0" fontId="244" fillId="37" borderId="28" xfId="13" applyFont="1" applyFill="1" applyBorder="1" applyAlignment="1">
      <alignment horizontal="left"/>
    </xf>
    <xf numFmtId="0" fontId="245" fillId="39" borderId="28" xfId="21" applyFont="1" applyFill="1" applyBorder="1" applyAlignment="1">
      <alignment horizontal="left"/>
    </xf>
    <xf numFmtId="181" fontId="236" fillId="39" borderId="28" xfId="21" applyNumberFormat="1" applyFont="1" applyFill="1" applyBorder="1"/>
    <xf numFmtId="181" fontId="11" fillId="39" borderId="28" xfId="21" applyNumberFormat="1" applyFont="1" applyFill="1" applyBorder="1"/>
    <xf numFmtId="0" fontId="234" fillId="41" borderId="28" xfId="13" applyFont="1" applyFill="1" applyBorder="1" applyAlignment="1">
      <alignment horizontal="center"/>
    </xf>
    <xf numFmtId="174" fontId="246" fillId="42" borderId="28" xfId="13" applyNumberFormat="1" applyFont="1" applyFill="1" applyBorder="1" applyAlignment="1">
      <alignment horizontal="center"/>
    </xf>
    <xf numFmtId="174" fontId="8" fillId="42" borderId="28" xfId="13" applyNumberFormat="1" applyFont="1" applyFill="1" applyBorder="1" applyAlignment="1">
      <alignment horizontal="center"/>
    </xf>
    <xf numFmtId="174" fontId="14" fillId="42" borderId="28" xfId="13" applyNumberFormat="1" applyFont="1" applyFill="1" applyBorder="1" applyAlignment="1">
      <alignment horizontal="center"/>
    </xf>
    <xf numFmtId="0" fontId="1" fillId="22" borderId="0" xfId="21" applyFill="1"/>
    <xf numFmtId="0" fontId="8" fillId="42" borderId="28" xfId="13" applyFont="1" applyFill="1" applyBorder="1" applyAlignment="1">
      <alignment horizontal="center"/>
    </xf>
    <xf numFmtId="181" fontId="25" fillId="41" borderId="28" xfId="13" applyNumberFormat="1" applyFont="1" applyFill="1" applyBorder="1" applyAlignment="1" applyProtection="1">
      <alignment horizontal="center"/>
      <protection locked="0"/>
    </xf>
    <xf numFmtId="174" fontId="3" fillId="42" borderId="28" xfId="13" applyNumberFormat="1" applyFont="1" applyFill="1" applyBorder="1" applyAlignment="1" applyProtection="1">
      <alignment horizontal="center"/>
      <protection locked="0"/>
    </xf>
    <xf numFmtId="174" fontId="247" fillId="42" borderId="28" xfId="13" applyNumberFormat="1" applyFont="1" applyFill="1" applyBorder="1" applyAlignment="1" applyProtection="1">
      <alignment horizontal="center"/>
      <protection locked="0"/>
    </xf>
    <xf numFmtId="0" fontId="8" fillId="42" borderId="0" xfId="13" applyFont="1" applyFill="1" applyBorder="1" applyAlignment="1">
      <alignment horizontal="center"/>
    </xf>
    <xf numFmtId="181" fontId="11" fillId="42" borderId="0" xfId="13" applyNumberFormat="1" applyFont="1" applyFill="1" applyBorder="1" applyAlignment="1" applyProtection="1">
      <alignment horizontal="center"/>
      <protection locked="0"/>
    </xf>
    <xf numFmtId="174" fontId="3" fillId="42" borderId="0" xfId="13" applyNumberFormat="1" applyFont="1" applyFill="1" applyBorder="1" applyAlignment="1" applyProtection="1">
      <alignment horizontal="center"/>
      <protection locked="0"/>
    </xf>
    <xf numFmtId="174" fontId="247" fillId="42" borderId="0" xfId="13" applyNumberFormat="1" applyFont="1" applyFill="1" applyBorder="1" applyAlignment="1" applyProtection="1">
      <alignment horizontal="center"/>
      <protection locked="0"/>
    </xf>
    <xf numFmtId="0" fontId="25" fillId="35" borderId="0" xfId="13" applyFont="1" applyFill="1" applyBorder="1" applyAlignment="1">
      <alignment horizontal="left"/>
    </xf>
    <xf numFmtId="0" fontId="3" fillId="35" borderId="0" xfId="13" applyFill="1"/>
    <xf numFmtId="181" fontId="1" fillId="19" borderId="0" xfId="21" applyNumberFormat="1" applyFill="1"/>
    <xf numFmtId="181" fontId="1" fillId="19" borderId="0" xfId="21" applyNumberFormat="1" applyFill="1" applyAlignment="1">
      <alignment horizontal="center"/>
    </xf>
    <xf numFmtId="181" fontId="249" fillId="35" borderId="0" xfId="13" applyNumberFormat="1" applyFont="1" applyFill="1"/>
    <xf numFmtId="174" fontId="3" fillId="43" borderId="0" xfId="13" applyNumberFormat="1" applyFill="1" applyAlignment="1">
      <alignment horizontal="left"/>
    </xf>
    <xf numFmtId="181" fontId="3" fillId="35" borderId="0" xfId="13" applyNumberFormat="1" applyFill="1" applyBorder="1" applyAlignment="1">
      <alignment horizontal="center"/>
    </xf>
    <xf numFmtId="181" fontId="1" fillId="19" borderId="0" xfId="21" applyNumberFormat="1" applyFill="1" applyBorder="1"/>
    <xf numFmtId="0" fontId="11" fillId="35" borderId="0" xfId="13" applyFont="1" applyFill="1"/>
    <xf numFmtId="181" fontId="11" fillId="35" borderId="0" xfId="13" applyNumberFormat="1" applyFont="1" applyFill="1" applyAlignment="1">
      <alignment horizontal="left"/>
    </xf>
    <xf numFmtId="0" fontId="1" fillId="19" borderId="0" xfId="21" applyFill="1"/>
    <xf numFmtId="174" fontId="11" fillId="35" borderId="0" xfId="13" applyNumberFormat="1" applyFont="1" applyFill="1" applyAlignment="1">
      <alignment horizontal="left"/>
    </xf>
    <xf numFmtId="0" fontId="249" fillId="35" borderId="0" xfId="13" applyFont="1" applyFill="1"/>
    <xf numFmtId="0" fontId="70" fillId="35" borderId="0" xfId="13" applyFont="1" applyFill="1" applyAlignment="1">
      <alignment horizontal="center"/>
    </xf>
    <xf numFmtId="0" fontId="14" fillId="35" borderId="0" xfId="13" applyFont="1" applyFill="1" applyAlignment="1">
      <alignment horizontal="center"/>
    </xf>
    <xf numFmtId="0" fontId="3" fillId="6" borderId="0" xfId="13" applyFill="1"/>
    <xf numFmtId="0" fontId="1" fillId="44" borderId="0" xfId="21" applyFill="1"/>
    <xf numFmtId="0" fontId="250" fillId="3" borderId="0" xfId="21" applyFont="1" applyFill="1"/>
    <xf numFmtId="0" fontId="0" fillId="0" borderId="0" xfId="0" applyAlignment="1">
      <alignment vertical="center"/>
    </xf>
    <xf numFmtId="0" fontId="0" fillId="9" borderId="0" xfId="0" applyFill="1" applyBorder="1" applyAlignment="1">
      <alignment vertical="center"/>
    </xf>
    <xf numFmtId="0" fontId="8" fillId="9" borderId="0" xfId="0" applyFont="1" applyFill="1"/>
    <xf numFmtId="0" fontId="0" fillId="14" borderId="0" xfId="0" applyFill="1" applyBorder="1"/>
    <xf numFmtId="9" fontId="0" fillId="14" borderId="0" xfId="0" applyNumberFormat="1" applyFill="1" applyBorder="1"/>
    <xf numFmtId="2" fontId="0" fillId="0" borderId="0" xfId="0" applyNumberFormat="1" applyBorder="1" applyAlignment="1">
      <alignment horizontal="center"/>
    </xf>
    <xf numFmtId="0" fontId="53" fillId="0" borderId="0" xfId="0" applyFont="1" applyProtection="1"/>
    <xf numFmtId="1" fontId="8" fillId="0" borderId="0" xfId="0" applyNumberFormat="1" applyFont="1"/>
    <xf numFmtId="9" fontId="0" fillId="0" borderId="0" xfId="0" applyNumberFormat="1"/>
    <xf numFmtId="9" fontId="4" fillId="0" borderId="0" xfId="0" applyNumberFormat="1" applyFont="1"/>
    <xf numFmtId="0" fontId="4" fillId="0" borderId="0" xfId="0" applyFont="1"/>
    <xf numFmtId="0" fontId="4" fillId="0" borderId="0" xfId="0" applyFont="1" applyAlignment="1">
      <alignment horizontal="center"/>
    </xf>
    <xf numFmtId="0" fontId="251" fillId="9" borderId="0" xfId="0" applyFont="1" applyFill="1" applyAlignment="1">
      <alignment horizontal="center"/>
    </xf>
    <xf numFmtId="9" fontId="4" fillId="9" borderId="0" xfId="0" applyNumberFormat="1" applyFont="1" applyFill="1"/>
    <xf numFmtId="0" fontId="4" fillId="9" borderId="0" xfId="0" applyFont="1" applyFill="1" applyAlignment="1"/>
    <xf numFmtId="0" fontId="252" fillId="0" borderId="0" xfId="20" applyFont="1" applyBorder="1" applyAlignment="1" applyProtection="1">
      <alignment horizontal="center"/>
    </xf>
    <xf numFmtId="0" fontId="70" fillId="45" borderId="20" xfId="0" applyFont="1" applyFill="1" applyBorder="1" applyProtection="1">
      <protection locked="0" hidden="1"/>
    </xf>
    <xf numFmtId="0" fontId="70" fillId="45" borderId="18" xfId="0" applyFont="1" applyFill="1" applyBorder="1" applyProtection="1">
      <protection locked="0" hidden="1"/>
    </xf>
    <xf numFmtId="0" fontId="70" fillId="45" borderId="0" xfId="0" applyFont="1" applyFill="1" applyBorder="1" applyProtection="1">
      <protection locked="0" hidden="1"/>
    </xf>
    <xf numFmtId="0" fontId="8" fillId="0" borderId="0" xfId="0" applyFont="1" applyAlignment="1">
      <alignment horizontal="center"/>
    </xf>
    <xf numFmtId="0" fontId="253" fillId="9" borderId="0" xfId="0" applyFont="1" applyFill="1" applyAlignment="1">
      <alignment horizontal="center"/>
    </xf>
    <xf numFmtId="0" fontId="253" fillId="9" borderId="0" xfId="0" applyFont="1" applyFill="1" applyAlignment="1">
      <alignment horizontal="left"/>
    </xf>
    <xf numFmtId="0" fontId="8" fillId="15" borderId="72" xfId="0" applyFont="1" applyFill="1" applyBorder="1"/>
    <xf numFmtId="0" fontId="8" fillId="15" borderId="0" xfId="0" applyFont="1" applyFill="1"/>
    <xf numFmtId="0" fontId="4" fillId="9" borderId="72" xfId="0" applyFont="1" applyFill="1" applyBorder="1"/>
    <xf numFmtId="0" fontId="71" fillId="9" borderId="0" xfId="0" applyFont="1" applyFill="1"/>
    <xf numFmtId="0" fontId="0" fillId="0" borderId="27" xfId="0" applyBorder="1" applyAlignment="1">
      <alignment vertical="center"/>
    </xf>
    <xf numFmtId="0" fontId="0" fillId="0" borderId="0" xfId="0" applyBorder="1" applyAlignment="1">
      <alignment vertical="center"/>
    </xf>
    <xf numFmtId="0" fontId="4" fillId="18" borderId="59" xfId="0" applyFont="1" applyFill="1" applyBorder="1" applyAlignment="1" applyProtection="1">
      <alignment horizontal="center" vertical="center"/>
      <protection locked="0"/>
    </xf>
    <xf numFmtId="0" fontId="0" fillId="14" borderId="0" xfId="0" applyFill="1" applyBorder="1" applyAlignment="1">
      <alignment vertical="center"/>
    </xf>
    <xf numFmtId="9" fontId="0" fillId="14" borderId="0" xfId="0" applyNumberFormat="1" applyFill="1" applyBorder="1" applyAlignment="1">
      <alignment vertical="center"/>
    </xf>
    <xf numFmtId="2" fontId="0" fillId="0" borderId="0" xfId="0" applyNumberFormat="1" applyBorder="1" applyAlignment="1">
      <alignment horizontal="center" vertical="center"/>
    </xf>
    <xf numFmtId="0" fontId="0" fillId="14" borderId="0" xfId="0" applyFill="1" applyBorder="1" applyAlignment="1" applyProtection="1">
      <alignment vertical="center"/>
    </xf>
    <xf numFmtId="0" fontId="0" fillId="0" borderId="0" xfId="0" applyBorder="1" applyAlignment="1" applyProtection="1">
      <alignment vertical="center"/>
    </xf>
    <xf numFmtId="0" fontId="3" fillId="9" borderId="0" xfId="0" applyFont="1" applyFill="1" applyBorder="1" applyAlignment="1">
      <alignment horizontal="center" vertical="center" shrinkToFit="1"/>
    </xf>
    <xf numFmtId="1" fontId="0" fillId="9" borderId="0" xfId="0" applyNumberFormat="1" applyFill="1" applyBorder="1" applyAlignment="1">
      <alignment vertical="center"/>
    </xf>
    <xf numFmtId="0" fontId="0" fillId="9" borderId="95" xfId="0" applyFill="1" applyBorder="1" applyAlignment="1">
      <alignment vertical="center"/>
    </xf>
    <xf numFmtId="1" fontId="8" fillId="0" borderId="0" xfId="0" applyNumberFormat="1" applyFont="1" applyBorder="1" applyAlignment="1" applyProtection="1">
      <alignment horizontal="center" vertical="center"/>
    </xf>
    <xf numFmtId="9" fontId="254" fillId="19" borderId="0" xfId="0" applyNumberFormat="1" applyFont="1" applyFill="1" applyBorder="1" applyAlignment="1" applyProtection="1">
      <alignment horizontal="center" vertical="center"/>
    </xf>
    <xf numFmtId="0" fontId="206" fillId="19" borderId="0" xfId="0" applyFont="1" applyFill="1" applyBorder="1" applyAlignment="1" applyProtection="1">
      <alignment horizontal="center" vertical="center"/>
    </xf>
    <xf numFmtId="0" fontId="207" fillId="19" borderId="0" xfId="0" applyFont="1" applyFill="1" applyBorder="1" applyAlignment="1" applyProtection="1">
      <alignment horizontal="center" vertical="center"/>
    </xf>
    <xf numFmtId="0" fontId="206" fillId="19" borderId="0" xfId="0" applyFont="1" applyFill="1" applyBorder="1" applyAlignment="1" applyProtection="1">
      <alignment horizontal="center" vertical="center"/>
      <protection locked="0"/>
    </xf>
    <xf numFmtId="0" fontId="206" fillId="19" borderId="0" xfId="0" applyFont="1" applyFill="1" applyBorder="1" applyAlignment="1">
      <alignment horizontal="center" vertical="center"/>
    </xf>
    <xf numFmtId="0" fontId="206" fillId="19" borderId="0" xfId="0" applyFont="1" applyFill="1" applyBorder="1" applyAlignment="1">
      <alignment vertical="center"/>
    </xf>
    <xf numFmtId="0" fontId="0" fillId="19" borderId="0" xfId="0" applyFill="1" applyBorder="1" applyAlignment="1">
      <alignment vertical="center"/>
    </xf>
    <xf numFmtId="0" fontId="27" fillId="9" borderId="0" xfId="0" applyFont="1" applyFill="1"/>
    <xf numFmtId="0" fontId="0" fillId="19" borderId="51" xfId="0" applyFill="1" applyBorder="1" applyAlignment="1">
      <alignment vertical="center"/>
    </xf>
    <xf numFmtId="0" fontId="0" fillId="19" borderId="50" xfId="0" applyFill="1" applyBorder="1" applyAlignment="1">
      <alignment vertical="center"/>
    </xf>
    <xf numFmtId="0" fontId="255" fillId="19" borderId="20" xfId="0" applyFont="1" applyFill="1" applyBorder="1"/>
    <xf numFmtId="0" fontId="256" fillId="9" borderId="96" xfId="0" applyFont="1" applyFill="1" applyBorder="1" applyAlignment="1">
      <alignment horizontal="center" vertical="top" wrapText="1"/>
    </xf>
    <xf numFmtId="0" fontId="256" fillId="9" borderId="97" xfId="0" applyFont="1" applyFill="1" applyBorder="1" applyAlignment="1">
      <alignment horizontal="center" vertical="top" wrapText="1"/>
    </xf>
    <xf numFmtId="0" fontId="257" fillId="9" borderId="97" xfId="0" applyFont="1" applyFill="1" applyBorder="1" applyAlignment="1">
      <alignment horizontal="center" vertical="top" wrapText="1"/>
    </xf>
    <xf numFmtId="0" fontId="0" fillId="19" borderId="72" xfId="0" applyFill="1" applyBorder="1" applyAlignment="1">
      <alignment vertical="center"/>
    </xf>
    <xf numFmtId="0" fontId="255" fillId="19" borderId="18" xfId="0" applyFont="1" applyFill="1" applyBorder="1"/>
    <xf numFmtId="0" fontId="0" fillId="19" borderId="36" xfId="0" applyFill="1" applyBorder="1" applyAlignment="1">
      <alignment vertical="center"/>
    </xf>
    <xf numFmtId="0" fontId="0" fillId="19" borderId="98" xfId="0" applyFill="1" applyBorder="1" applyAlignment="1">
      <alignment vertical="center"/>
    </xf>
    <xf numFmtId="0" fontId="255" fillId="19" borderId="35" xfId="0" applyFont="1" applyFill="1" applyBorder="1"/>
    <xf numFmtId="0" fontId="90" fillId="9" borderId="97" xfId="0" applyFont="1" applyFill="1" applyBorder="1" applyAlignment="1">
      <alignment horizontal="center" vertical="top" wrapText="1"/>
    </xf>
    <xf numFmtId="0" fontId="25" fillId="17" borderId="62" xfId="0" applyFont="1" applyFill="1" applyBorder="1" applyAlignment="1" applyProtection="1">
      <alignment horizontal="center" vertical="center"/>
    </xf>
    <xf numFmtId="0" fontId="3" fillId="19" borderId="0" xfId="0" applyFont="1" applyFill="1" applyBorder="1" applyAlignment="1">
      <alignment horizontal="center" vertical="center" shrinkToFit="1"/>
    </xf>
    <xf numFmtId="0" fontId="11" fillId="46" borderId="99" xfId="0" applyFont="1" applyFill="1" applyBorder="1" applyAlignment="1">
      <alignment horizontal="center" wrapText="1"/>
    </xf>
    <xf numFmtId="0" fontId="0" fillId="9" borderId="0" xfId="0" applyFill="1" applyAlignment="1">
      <alignment vertical="center"/>
    </xf>
    <xf numFmtId="0" fontId="260" fillId="19" borderId="97" xfId="0" applyFont="1" applyFill="1" applyBorder="1" applyAlignment="1">
      <alignment horizontal="center" vertical="center" wrapText="1"/>
    </xf>
    <xf numFmtId="0" fontId="261" fillId="0" borderId="97" xfId="0" applyFont="1" applyBorder="1" applyAlignment="1">
      <alignment horizontal="center" vertical="center" wrapText="1"/>
    </xf>
    <xf numFmtId="0" fontId="261" fillId="9" borderId="97" xfId="0" applyFont="1" applyFill="1" applyBorder="1" applyAlignment="1">
      <alignment horizontal="center" vertical="center" wrapText="1"/>
    </xf>
    <xf numFmtId="0" fontId="22" fillId="0" borderId="100" xfId="0" applyFont="1" applyFill="1" applyBorder="1" applyAlignment="1">
      <alignment horizontal="center" vertical="center" shrinkToFit="1"/>
    </xf>
    <xf numFmtId="1" fontId="22" fillId="0" borderId="100" xfId="0" applyNumberFormat="1" applyFont="1" applyFill="1" applyBorder="1" applyAlignment="1">
      <alignment horizontal="center" vertical="center" shrinkToFit="1"/>
    </xf>
    <xf numFmtId="0" fontId="3" fillId="0" borderId="100" xfId="0" applyFont="1" applyFill="1" applyBorder="1" applyAlignment="1">
      <alignment vertical="center" shrinkToFit="1"/>
    </xf>
    <xf numFmtId="0" fontId="3" fillId="0" borderId="100" xfId="0" applyFont="1" applyFill="1" applyBorder="1" applyAlignment="1">
      <alignment horizontal="center" vertical="center" shrinkToFit="1"/>
    </xf>
    <xf numFmtId="9" fontId="262" fillId="0" borderId="61" xfId="0" applyNumberFormat="1" applyFont="1" applyBorder="1" applyAlignment="1" applyProtection="1">
      <alignment horizontal="center" vertical="center"/>
    </xf>
    <xf numFmtId="0" fontId="4" fillId="0" borderId="101" xfId="0" applyFont="1" applyBorder="1" applyAlignment="1" applyProtection="1">
      <alignment horizontal="center" vertical="center"/>
    </xf>
    <xf numFmtId="0" fontId="4" fillId="0" borderId="102" xfId="0" applyFont="1" applyBorder="1" applyAlignment="1" applyProtection="1">
      <alignment horizontal="center" vertical="center"/>
      <protection locked="0"/>
    </xf>
    <xf numFmtId="0" fontId="4" fillId="0" borderId="103" xfId="0" applyFont="1" applyBorder="1" applyAlignment="1" applyProtection="1">
      <alignment horizontal="center" vertical="center"/>
      <protection locked="0"/>
    </xf>
    <xf numFmtId="0" fontId="4" fillId="0" borderId="104" xfId="0" applyFont="1" applyBorder="1" applyAlignment="1" applyProtection="1">
      <alignment horizontal="center" vertical="center"/>
      <protection locked="0"/>
    </xf>
    <xf numFmtId="0" fontId="4" fillId="18" borderId="105" xfId="0" applyFont="1" applyFill="1" applyBorder="1" applyAlignment="1" applyProtection="1">
      <alignment horizontal="center" vertical="center"/>
      <protection locked="0"/>
    </xf>
    <xf numFmtId="0" fontId="4" fillId="18" borderId="106" xfId="0" applyFont="1" applyFill="1" applyBorder="1" applyAlignment="1" applyProtection="1">
      <alignment horizontal="center" vertical="center"/>
      <protection locked="0"/>
    </xf>
    <xf numFmtId="0" fontId="251" fillId="9" borderId="107" xfId="0" applyFont="1" applyFill="1" applyBorder="1" applyAlignment="1">
      <alignment horizontal="center" vertical="center"/>
    </xf>
    <xf numFmtId="0" fontId="4" fillId="9" borderId="58" xfId="0" applyFont="1" applyFill="1" applyBorder="1" applyAlignment="1">
      <alignment vertical="center"/>
    </xf>
    <xf numFmtId="0" fontId="3" fillId="0" borderId="97" xfId="0" applyFont="1" applyFill="1" applyBorder="1" applyAlignment="1">
      <alignment vertical="center" shrinkToFit="1"/>
    </xf>
    <xf numFmtId="0" fontId="22" fillId="0" borderId="108" xfId="0" applyFont="1" applyFill="1" applyBorder="1" applyAlignment="1">
      <alignment horizontal="center" vertical="center" shrinkToFit="1"/>
    </xf>
    <xf numFmtId="0" fontId="22" fillId="0" borderId="97" xfId="0" applyFont="1" applyFill="1" applyBorder="1" applyAlignment="1">
      <alignment horizontal="center" vertical="center" shrinkToFit="1"/>
    </xf>
    <xf numFmtId="1" fontId="22" fillId="0" borderId="97" xfId="0" applyNumberFormat="1" applyFont="1" applyFill="1" applyBorder="1" applyAlignment="1">
      <alignment horizontal="center" vertical="center" shrinkToFit="1"/>
    </xf>
    <xf numFmtId="0" fontId="3" fillId="0" borderId="97" xfId="0" applyFont="1" applyFill="1" applyBorder="1" applyAlignment="1">
      <alignment horizontal="center" vertical="center" shrinkToFit="1"/>
    </xf>
    <xf numFmtId="0" fontId="3" fillId="46" borderId="97" xfId="0" applyFont="1" applyFill="1" applyBorder="1" applyAlignment="1">
      <alignment horizontal="center" vertical="center" shrinkToFit="1"/>
    </xf>
    <xf numFmtId="1" fontId="3" fillId="46" borderId="97" xfId="0" applyNumberFormat="1" applyFont="1" applyFill="1" applyBorder="1" applyAlignment="1">
      <alignment horizontal="center" vertical="center" shrinkToFit="1"/>
    </xf>
    <xf numFmtId="0" fontId="7" fillId="46" borderId="97" xfId="0" applyFont="1" applyFill="1" applyBorder="1" applyAlignment="1">
      <alignment horizontal="center" vertical="center"/>
    </xf>
    <xf numFmtId="0" fontId="3" fillId="46" borderId="97" xfId="0" applyFont="1" applyFill="1" applyBorder="1" applyAlignment="1">
      <alignment horizontal="center" vertical="center" wrapText="1"/>
    </xf>
    <xf numFmtId="0" fontId="263" fillId="9" borderId="0" xfId="0" applyFont="1" applyFill="1" applyBorder="1" applyAlignment="1" applyProtection="1">
      <alignment horizontal="left" vertical="center"/>
      <protection locked="0"/>
    </xf>
    <xf numFmtId="0" fontId="264" fillId="19" borderId="97" xfId="0" applyFont="1" applyFill="1" applyBorder="1" applyAlignment="1">
      <alignment horizontal="center" vertical="center" wrapText="1"/>
    </xf>
    <xf numFmtId="0" fontId="264" fillId="0" borderId="97" xfId="0" applyFont="1" applyBorder="1" applyAlignment="1">
      <alignment horizontal="center" vertical="center" wrapText="1"/>
    </xf>
    <xf numFmtId="0" fontId="4" fillId="0" borderId="109" xfId="0" applyFont="1" applyBorder="1" applyAlignment="1" applyProtection="1">
      <alignment horizontal="center" vertical="center"/>
    </xf>
    <xf numFmtId="9" fontId="262" fillId="0" borderId="110" xfId="0" applyNumberFormat="1" applyFont="1" applyBorder="1" applyAlignment="1" applyProtection="1">
      <alignment horizontal="center" vertical="center"/>
    </xf>
    <xf numFmtId="0" fontId="25" fillId="17" borderId="28" xfId="0" applyFont="1" applyFill="1" applyBorder="1" applyAlignment="1" applyProtection="1">
      <alignment horizontal="center" vertical="center"/>
    </xf>
    <xf numFmtId="0" fontId="4" fillId="0" borderId="111" xfId="0" applyFont="1" applyBorder="1" applyAlignment="1" applyProtection="1">
      <alignment horizontal="center" vertical="center"/>
      <protection locked="0"/>
    </xf>
    <xf numFmtId="0" fontId="4" fillId="0" borderId="112" xfId="0" applyFont="1" applyBorder="1" applyAlignment="1" applyProtection="1">
      <alignment horizontal="center" vertical="center"/>
      <protection locked="0"/>
    </xf>
    <xf numFmtId="0" fontId="4" fillId="0" borderId="113" xfId="0" applyFont="1" applyBorder="1" applyAlignment="1" applyProtection="1">
      <alignment horizontal="center" vertical="center"/>
      <protection locked="0"/>
    </xf>
    <xf numFmtId="0" fontId="4" fillId="18" borderId="114" xfId="0" applyFont="1" applyFill="1" applyBorder="1" applyAlignment="1" applyProtection="1">
      <alignment horizontal="center" vertical="center"/>
      <protection locked="0"/>
    </xf>
    <xf numFmtId="0" fontId="4" fillId="18" borderId="115" xfId="0" applyFont="1" applyFill="1" applyBorder="1" applyAlignment="1" applyProtection="1">
      <alignment horizontal="center" vertical="center"/>
      <protection locked="0"/>
    </xf>
    <xf numFmtId="0" fontId="4" fillId="18" borderId="116" xfId="0" applyFont="1" applyFill="1" applyBorder="1" applyAlignment="1" applyProtection="1">
      <alignment horizontal="center" vertical="center"/>
      <protection locked="0"/>
    </xf>
    <xf numFmtId="0" fontId="251" fillId="9" borderId="117" xfId="0" applyFont="1" applyFill="1" applyBorder="1" applyAlignment="1">
      <alignment horizontal="center" vertical="center"/>
    </xf>
    <xf numFmtId="0" fontId="4" fillId="9" borderId="118" xfId="0" applyFont="1" applyFill="1" applyBorder="1" applyAlignment="1">
      <alignment vertical="center"/>
    </xf>
    <xf numFmtId="0" fontId="3" fillId="19" borderId="21" xfId="0" applyFont="1" applyFill="1" applyBorder="1" applyAlignment="1">
      <alignment horizontal="center" vertical="center" shrinkToFit="1"/>
    </xf>
    <xf numFmtId="0" fontId="3" fillId="19" borderId="50" xfId="0" applyFont="1" applyFill="1" applyBorder="1" applyAlignment="1">
      <alignment vertical="center" shrinkToFit="1"/>
    </xf>
    <xf numFmtId="1" fontId="22" fillId="19" borderId="20" xfId="0" applyNumberFormat="1" applyFont="1" applyFill="1" applyBorder="1"/>
    <xf numFmtId="0" fontId="3" fillId="19" borderId="72" xfId="0" applyFont="1" applyFill="1" applyBorder="1" applyAlignment="1">
      <alignment horizontal="center" vertical="center" shrinkToFit="1"/>
    </xf>
    <xf numFmtId="0" fontId="3" fillId="19" borderId="0" xfId="0" applyFont="1" applyFill="1" applyBorder="1" applyAlignment="1">
      <alignment vertical="center" shrinkToFit="1"/>
    </xf>
    <xf numFmtId="1" fontId="22" fillId="19" borderId="18" xfId="0" applyNumberFormat="1" applyFont="1" applyFill="1" applyBorder="1"/>
    <xf numFmtId="0" fontId="3" fillId="9" borderId="18" xfId="0" applyFont="1" applyFill="1" applyBorder="1" applyAlignment="1">
      <alignment horizontal="center" vertical="center" shrinkToFit="1"/>
    </xf>
    <xf numFmtId="0" fontId="22" fillId="0" borderId="28" xfId="0" applyFont="1" applyFill="1" applyBorder="1" applyAlignment="1">
      <alignment horizontal="center" vertical="center" shrinkToFit="1"/>
    </xf>
    <xf numFmtId="1" fontId="22" fillId="0" borderId="28" xfId="0" applyNumberFormat="1" applyFont="1" applyFill="1" applyBorder="1" applyAlignment="1">
      <alignment horizontal="center" vertical="center" shrinkToFit="1"/>
    </xf>
    <xf numFmtId="0" fontId="3" fillId="0" borderId="28" xfId="0" applyFont="1" applyFill="1" applyBorder="1" applyAlignment="1">
      <alignment vertical="center" shrinkToFit="1"/>
    </xf>
    <xf numFmtId="0" fontId="3" fillId="0" borderId="28" xfId="0" applyFont="1" applyFill="1" applyBorder="1" applyAlignment="1">
      <alignment horizontal="center" vertical="center" shrinkToFit="1"/>
    </xf>
    <xf numFmtId="0" fontId="3" fillId="0" borderId="96" xfId="0" applyFont="1" applyFill="1" applyBorder="1" applyAlignment="1">
      <alignment horizontal="center" vertical="center" shrinkToFit="1"/>
    </xf>
    <xf numFmtId="0" fontId="0" fillId="19" borderId="0" xfId="0" applyFill="1" applyAlignment="1">
      <alignment vertical="center"/>
    </xf>
    <xf numFmtId="0" fontId="3" fillId="0" borderId="119" xfId="0" applyFont="1" applyFill="1" applyBorder="1" applyAlignment="1">
      <alignment horizontal="center" vertical="center" shrinkToFit="1"/>
    </xf>
    <xf numFmtId="0" fontId="3" fillId="19" borderId="98" xfId="0" applyFont="1" applyFill="1" applyBorder="1" applyAlignment="1">
      <alignment vertical="center" shrinkToFit="1"/>
    </xf>
    <xf numFmtId="1" fontId="19" fillId="19" borderId="35" xfId="0" applyNumberFormat="1" applyFont="1" applyFill="1" applyBorder="1"/>
    <xf numFmtId="0" fontId="8" fillId="0" borderId="0" xfId="0" applyFont="1" applyAlignment="1">
      <alignment vertical="center"/>
    </xf>
    <xf numFmtId="0" fontId="8" fillId="19" borderId="0" xfId="0" applyFont="1" applyFill="1" applyAlignment="1">
      <alignment vertical="center"/>
    </xf>
    <xf numFmtId="0" fontId="8" fillId="9" borderId="0" xfId="0" applyFont="1" applyFill="1" applyBorder="1" applyAlignment="1">
      <alignment vertical="center"/>
    </xf>
    <xf numFmtId="0" fontId="8" fillId="0" borderId="0" xfId="0" applyFont="1" applyBorder="1" applyAlignment="1">
      <alignment vertical="center"/>
    </xf>
    <xf numFmtId="2" fontId="8" fillId="0" borderId="0" xfId="0" applyNumberFormat="1" applyFont="1" applyBorder="1" applyAlignment="1">
      <alignment horizontal="center" vertical="center"/>
    </xf>
    <xf numFmtId="0" fontId="3" fillId="0" borderId="120" xfId="0" applyFont="1" applyFill="1" applyBorder="1" applyAlignment="1">
      <alignment horizontal="center" vertical="center" shrinkToFit="1"/>
    </xf>
    <xf numFmtId="0" fontId="3" fillId="0" borderId="108" xfId="0" applyFont="1" applyFill="1" applyBorder="1" applyAlignment="1">
      <alignment vertical="center" shrinkToFit="1"/>
    </xf>
    <xf numFmtId="0" fontId="0" fillId="15" borderId="0" xfId="0" applyFill="1"/>
    <xf numFmtId="0" fontId="3" fillId="46" borderId="119" xfId="0" applyFont="1" applyFill="1" applyBorder="1" applyAlignment="1">
      <alignment horizontal="center" vertical="center" shrinkToFit="1"/>
    </xf>
    <xf numFmtId="0" fontId="3" fillId="46" borderId="28" xfId="0" applyFont="1" applyFill="1" applyBorder="1" applyAlignment="1">
      <alignment horizontal="center" vertical="center" shrinkToFit="1"/>
    </xf>
    <xf numFmtId="1" fontId="3" fillId="46" borderId="28" xfId="0" applyNumberFormat="1" applyFont="1" applyFill="1" applyBorder="1" applyAlignment="1">
      <alignment horizontal="center" vertical="center" shrinkToFit="1"/>
    </xf>
    <xf numFmtId="0" fontId="7" fillId="46" borderId="28" xfId="0" applyFont="1" applyFill="1" applyBorder="1" applyAlignment="1">
      <alignment horizontal="center" vertical="center"/>
    </xf>
    <xf numFmtId="0" fontId="3" fillId="9" borderId="97" xfId="0" applyFont="1" applyFill="1" applyBorder="1" applyAlignment="1">
      <alignment horizontal="center" vertical="center" shrinkToFit="1"/>
    </xf>
    <xf numFmtId="0" fontId="0" fillId="0" borderId="0" xfId="0" applyNumberFormat="1" applyBorder="1" applyAlignment="1">
      <alignment horizontal="center" vertical="center"/>
    </xf>
    <xf numFmtId="0" fontId="188" fillId="9" borderId="0" xfId="0" applyFont="1" applyFill="1" applyBorder="1" applyAlignment="1" applyProtection="1">
      <alignment horizontal="left" vertical="center"/>
    </xf>
    <xf numFmtId="0" fontId="179" fillId="9" borderId="0" xfId="0" applyFont="1" applyFill="1" applyBorder="1" applyAlignment="1">
      <alignment vertical="center"/>
    </xf>
    <xf numFmtId="0" fontId="4" fillId="0" borderId="122" xfId="0" applyFont="1" applyBorder="1" applyAlignment="1" applyProtection="1">
      <alignment horizontal="center" vertical="center"/>
    </xf>
    <xf numFmtId="9" fontId="262" fillId="0" borderId="123" xfId="0" applyNumberFormat="1" applyFont="1" applyBorder="1" applyAlignment="1" applyProtection="1">
      <alignment horizontal="center" vertical="center"/>
    </xf>
    <xf numFmtId="0" fontId="25" fillId="17" borderId="124" xfId="0" applyFont="1" applyFill="1" applyBorder="1" applyAlignment="1" applyProtection="1">
      <alignment horizontal="center" vertical="center"/>
    </xf>
    <xf numFmtId="0" fontId="4" fillId="18" borderId="125" xfId="0" applyFont="1" applyFill="1" applyBorder="1" applyAlignment="1" applyProtection="1">
      <alignment horizontal="center" vertical="center"/>
      <protection locked="0"/>
    </xf>
    <xf numFmtId="0" fontId="4" fillId="18" borderId="103" xfId="0" applyFont="1" applyFill="1" applyBorder="1" applyAlignment="1" applyProtection="1">
      <alignment horizontal="center" vertical="center"/>
      <protection locked="0"/>
    </xf>
    <xf numFmtId="0" fontId="4" fillId="18" borderId="104" xfId="0" applyFont="1" applyFill="1" applyBorder="1" applyAlignment="1" applyProtection="1">
      <alignment horizontal="center" vertical="center"/>
      <protection locked="0"/>
    </xf>
    <xf numFmtId="0" fontId="251" fillId="9" borderId="102" xfId="0" applyFont="1" applyFill="1" applyBorder="1" applyAlignment="1">
      <alignment horizontal="center" vertical="center"/>
    </xf>
    <xf numFmtId="0" fontId="4" fillId="9" borderId="63" xfId="0" applyFont="1" applyFill="1" applyBorder="1" applyAlignment="1">
      <alignment vertical="center"/>
    </xf>
    <xf numFmtId="0" fontId="259" fillId="9" borderId="0" xfId="0" applyFont="1" applyFill="1" applyBorder="1" applyAlignment="1" applyProtection="1">
      <alignment horizontal="left" vertical="center"/>
    </xf>
    <xf numFmtId="0" fontId="265" fillId="9" borderId="0" xfId="0" applyFont="1" applyFill="1" applyBorder="1" applyAlignment="1" applyProtection="1">
      <alignment horizontal="left" vertical="center"/>
    </xf>
    <xf numFmtId="0" fontId="4" fillId="18" borderId="126" xfId="0" applyFont="1" applyFill="1" applyBorder="1" applyAlignment="1" applyProtection="1">
      <alignment horizontal="center" vertical="center"/>
      <protection locked="0"/>
    </xf>
    <xf numFmtId="0" fontId="4" fillId="9" borderId="95" xfId="0" applyFont="1" applyFill="1" applyBorder="1" applyAlignment="1">
      <alignment vertical="center"/>
    </xf>
    <xf numFmtId="0" fontId="3" fillId="19" borderId="0" xfId="0" applyFont="1" applyFill="1"/>
    <xf numFmtId="177" fontId="0" fillId="9" borderId="0" xfId="0" applyNumberFormat="1" applyFill="1" applyBorder="1"/>
    <xf numFmtId="0" fontId="4" fillId="47" borderId="28" xfId="0" applyFont="1" applyFill="1" applyBorder="1" applyAlignment="1" applyProtection="1">
      <alignment horizontal="center" vertical="center" textRotation="90" wrapText="1"/>
    </xf>
    <xf numFmtId="9" fontId="0" fillId="14" borderId="0" xfId="0" applyNumberFormat="1" applyFill="1" applyBorder="1" applyAlignment="1">
      <alignment textRotation="90"/>
    </xf>
    <xf numFmtId="0" fontId="0" fillId="14" borderId="0" xfId="0" applyFill="1" applyBorder="1" applyAlignment="1">
      <alignment textRotation="90"/>
    </xf>
    <xf numFmtId="2" fontId="0" fillId="0" borderId="0" xfId="0" applyNumberFormat="1" applyBorder="1" applyAlignment="1">
      <alignment horizontal="center" textRotation="90"/>
    </xf>
    <xf numFmtId="0" fontId="0" fillId="0" borderId="127" xfId="0" applyBorder="1" applyAlignment="1">
      <alignment horizontal="center" vertical="center" wrapText="1"/>
    </xf>
    <xf numFmtId="0" fontId="0" fillId="0" borderId="24" xfId="0" applyBorder="1" applyAlignment="1">
      <alignment horizontal="center" vertical="center" wrapText="1"/>
    </xf>
    <xf numFmtId="0" fontId="3" fillId="14" borderId="23" xfId="0" applyFont="1" applyFill="1" applyBorder="1" applyAlignment="1" applyProtection="1">
      <alignment horizontal="center" vertical="center" wrapText="1"/>
    </xf>
    <xf numFmtId="0" fontId="252" fillId="19" borderId="0" xfId="20" applyFont="1" applyFill="1" applyBorder="1" applyAlignment="1" applyProtection="1">
      <alignment horizontal="center" textRotation="90"/>
    </xf>
    <xf numFmtId="0" fontId="3" fillId="9" borderId="0" xfId="0" applyFont="1" applyFill="1" applyBorder="1" applyAlignment="1">
      <alignment horizontal="center"/>
    </xf>
    <xf numFmtId="0" fontId="3" fillId="0" borderId="0" xfId="0" applyFont="1" applyBorder="1" applyAlignment="1">
      <alignment horizontal="center"/>
    </xf>
    <xf numFmtId="0" fontId="20" fillId="9" borderId="0" xfId="0" applyFont="1" applyFill="1" applyBorder="1" applyAlignment="1">
      <alignment horizontal="left" vertical="center"/>
    </xf>
    <xf numFmtId="1" fontId="20" fillId="9" borderId="0" xfId="0" applyNumberFormat="1" applyFont="1" applyFill="1" applyBorder="1" applyAlignment="1">
      <alignment horizontal="left" vertical="center"/>
    </xf>
    <xf numFmtId="0" fontId="24" fillId="0" borderId="0" xfId="0" applyFont="1" applyBorder="1" applyAlignment="1">
      <alignment horizontal="center"/>
    </xf>
    <xf numFmtId="0" fontId="5" fillId="9" borderId="0" xfId="0" applyFont="1" applyFill="1" applyAlignment="1">
      <alignment vertical="center"/>
    </xf>
    <xf numFmtId="0" fontId="8" fillId="9" borderId="0" xfId="0" applyFont="1" applyFill="1" applyBorder="1" applyAlignment="1">
      <alignment horizontal="center" vertical="center"/>
    </xf>
    <xf numFmtId="0" fontId="8" fillId="9" borderId="21" xfId="0" applyFont="1" applyFill="1" applyBorder="1" applyAlignment="1">
      <alignment horizontal="center" vertical="center"/>
    </xf>
    <xf numFmtId="1" fontId="8" fillId="14" borderId="72" xfId="0" applyNumberFormat="1" applyFont="1" applyFill="1" applyBorder="1" applyAlignment="1" applyProtection="1">
      <alignment horizontal="center" vertical="center" textRotation="90" wrapText="1"/>
    </xf>
    <xf numFmtId="9" fontId="4" fillId="14" borderId="61" xfId="0" applyNumberFormat="1" applyFont="1" applyFill="1" applyBorder="1" applyAlignment="1" applyProtection="1">
      <alignment horizontal="center" vertical="center" textRotation="90" wrapText="1"/>
    </xf>
    <xf numFmtId="0" fontId="4" fillId="14" borderId="101" xfId="0" applyFont="1" applyFill="1" applyBorder="1" applyAlignment="1" applyProtection="1">
      <alignment horizontal="center" vertical="center" textRotation="90" wrapText="1"/>
    </xf>
    <xf numFmtId="0" fontId="4" fillId="18" borderId="101" xfId="0" applyFont="1" applyFill="1" applyBorder="1" applyAlignment="1" applyProtection="1">
      <alignment horizontal="center" vertical="center" textRotation="90" wrapText="1"/>
    </xf>
    <xf numFmtId="9" fontId="4" fillId="11" borderId="61" xfId="0" applyNumberFormat="1" applyFont="1" applyFill="1" applyBorder="1" applyAlignment="1" applyProtection="1">
      <alignment horizontal="center" vertical="center" textRotation="90" wrapText="1"/>
    </xf>
    <xf numFmtId="0" fontId="4" fillId="11" borderId="101" xfId="0" applyFont="1" applyFill="1" applyBorder="1" applyAlignment="1" applyProtection="1">
      <alignment horizontal="center" vertical="center" textRotation="90" wrapText="1"/>
    </xf>
    <xf numFmtId="0" fontId="22" fillId="17" borderId="28" xfId="0" applyFont="1" applyFill="1" applyBorder="1" applyAlignment="1" applyProtection="1">
      <alignment horizontal="center" vertical="center" textRotation="90" wrapText="1"/>
    </xf>
    <xf numFmtId="0" fontId="4" fillId="14" borderId="28" xfId="0" applyFont="1" applyFill="1" applyBorder="1" applyAlignment="1" applyProtection="1">
      <alignment horizontal="center" vertical="center" textRotation="90" wrapText="1"/>
    </xf>
    <xf numFmtId="0" fontId="4" fillId="14" borderId="25" xfId="0" applyFont="1" applyFill="1" applyBorder="1" applyAlignment="1" applyProtection="1">
      <alignment horizontal="center" vertical="center" textRotation="90" wrapText="1"/>
    </xf>
    <xf numFmtId="0" fontId="4" fillId="14" borderId="128" xfId="0" applyFont="1" applyFill="1" applyBorder="1" applyAlignment="1" applyProtection="1">
      <alignment horizontal="center" vertical="center" textRotation="90" wrapText="1"/>
    </xf>
    <xf numFmtId="0" fontId="4" fillId="47" borderId="54" xfId="0" applyFont="1" applyFill="1" applyBorder="1" applyAlignment="1" applyProtection="1">
      <alignment horizontal="center" vertical="center" textRotation="90" wrapText="1"/>
    </xf>
    <xf numFmtId="0" fontId="4" fillId="47" borderId="25" xfId="0" applyFont="1" applyFill="1" applyBorder="1" applyAlignment="1" applyProtection="1">
      <alignment horizontal="center" vertical="center" textRotation="90" wrapText="1"/>
    </xf>
    <xf numFmtId="0" fontId="4" fillId="47" borderId="128" xfId="0" applyFont="1" applyFill="1" applyBorder="1" applyAlignment="1" applyProtection="1">
      <alignment horizontal="center" vertical="center" textRotation="90" wrapText="1"/>
    </xf>
    <xf numFmtId="0" fontId="266" fillId="9" borderId="28" xfId="5" applyFont="1" applyFill="1" applyBorder="1" applyAlignment="1">
      <alignment horizontal="center" vertical="center" textRotation="90" wrapText="1"/>
    </xf>
    <xf numFmtId="0" fontId="4" fillId="9" borderId="21" xfId="0" applyFont="1" applyFill="1" applyBorder="1" applyAlignment="1">
      <alignment horizontal="center" vertical="center"/>
    </xf>
    <xf numFmtId="0" fontId="203" fillId="9" borderId="18" xfId="0" applyFont="1" applyFill="1" applyBorder="1" applyAlignment="1">
      <alignment horizontal="center" vertical="distributed" textRotation="180"/>
    </xf>
    <xf numFmtId="0" fontId="174" fillId="0" borderId="0" xfId="0" applyFont="1" applyAlignment="1">
      <alignment horizontal="center" vertical="distributed" textRotation="180"/>
    </xf>
    <xf numFmtId="0" fontId="206" fillId="9" borderId="0" xfId="0" applyFont="1" applyFill="1" applyBorder="1" applyAlignment="1">
      <alignment vertical="center"/>
    </xf>
    <xf numFmtId="0" fontId="206" fillId="9" borderId="0" xfId="0" applyFont="1" applyFill="1" applyBorder="1" applyAlignment="1">
      <alignment horizontal="left" vertical="center"/>
    </xf>
    <xf numFmtId="0" fontId="206" fillId="9" borderId="0" xfId="0" applyFont="1" applyFill="1" applyAlignment="1"/>
    <xf numFmtId="0" fontId="206" fillId="9" borderId="0" xfId="0" applyFont="1" applyFill="1" applyAlignment="1">
      <alignment horizontal="left"/>
    </xf>
    <xf numFmtId="0" fontId="267" fillId="9" borderId="0" xfId="0" applyFont="1" applyFill="1" applyAlignment="1">
      <alignment horizontal="center"/>
    </xf>
    <xf numFmtId="0" fontId="206" fillId="9" borderId="0" xfId="0" applyFont="1" applyFill="1" applyAlignment="1">
      <alignment horizontal="center"/>
    </xf>
    <xf numFmtId="0" fontId="206" fillId="9" borderId="0" xfId="0" applyFont="1" applyFill="1"/>
    <xf numFmtId="0" fontId="267" fillId="15" borderId="0" xfId="0" applyFont="1" applyFill="1"/>
    <xf numFmtId="0" fontId="267" fillId="9" borderId="0" xfId="0" applyFont="1" applyFill="1" applyAlignment="1">
      <alignment horizontal="left"/>
    </xf>
    <xf numFmtId="0" fontId="267" fillId="9" borderId="0" xfId="0" applyFont="1" applyFill="1" applyAlignment="1"/>
    <xf numFmtId="0" fontId="174" fillId="9" borderId="0" xfId="0" applyFont="1" applyFill="1" applyBorder="1" applyAlignment="1">
      <alignment vertical="center"/>
    </xf>
    <xf numFmtId="1" fontId="174" fillId="9" borderId="0" xfId="0" applyNumberFormat="1" applyFont="1" applyFill="1" applyBorder="1" applyAlignment="1">
      <alignment vertical="center"/>
    </xf>
    <xf numFmtId="0" fontId="174" fillId="0" borderId="0" xfId="0" applyFont="1" applyBorder="1" applyAlignment="1">
      <alignment vertical="center"/>
    </xf>
    <xf numFmtId="0" fontId="174" fillId="9" borderId="0" xfId="0" applyFont="1" applyFill="1" applyAlignment="1">
      <alignment horizontal="center" vertical="center"/>
    </xf>
    <xf numFmtId="0" fontId="174" fillId="9" borderId="121" xfId="0" applyFont="1" applyFill="1" applyBorder="1" applyAlignment="1">
      <alignment vertical="center"/>
    </xf>
    <xf numFmtId="0" fontId="206" fillId="9" borderId="0" xfId="0" applyFont="1" applyFill="1" applyBorder="1" applyAlignment="1" applyProtection="1">
      <alignment horizontal="left" vertical="center"/>
    </xf>
    <xf numFmtId="1" fontId="174" fillId="9" borderId="0" xfId="0" applyNumberFormat="1" applyFont="1" applyFill="1" applyAlignment="1">
      <alignment vertical="center"/>
    </xf>
    <xf numFmtId="0" fontId="174" fillId="9" borderId="0" xfId="0" applyFont="1" applyFill="1" applyAlignment="1">
      <alignment vertical="center"/>
    </xf>
    <xf numFmtId="9" fontId="254" fillId="0" borderId="1" xfId="0" applyNumberFormat="1" applyFont="1" applyBorder="1" applyAlignment="1" applyProtection="1">
      <alignment horizontal="center" vertical="center"/>
    </xf>
    <xf numFmtId="0" fontId="268" fillId="9" borderId="1" xfId="0" applyFont="1" applyFill="1" applyBorder="1" applyAlignment="1" applyProtection="1">
      <alignment horizontal="left" vertical="center"/>
      <protection locked="0"/>
    </xf>
    <xf numFmtId="0" fontId="38" fillId="0" borderId="0" xfId="0" applyFont="1" applyAlignment="1">
      <alignment vertical="center" wrapText="1"/>
    </xf>
    <xf numFmtId="0" fontId="38" fillId="9" borderId="0" xfId="0" applyFont="1" applyFill="1" applyBorder="1" applyAlignment="1">
      <alignment vertical="center" wrapText="1"/>
    </xf>
    <xf numFmtId="0" fontId="25" fillId="19" borderId="0" xfId="0" applyFont="1" applyFill="1" applyBorder="1" applyAlignment="1" applyProtection="1">
      <alignment horizontal="center" vertical="center"/>
    </xf>
  </cellXfs>
  <cellStyles count="28">
    <cellStyle name="Comma [0]" xfId="1"/>
    <cellStyle name="Comma [0] 2" xfId="22"/>
    <cellStyle name="Currency [0]" xfId="2"/>
    <cellStyle name="Currency [0] 2" xfId="23"/>
    <cellStyle name="Euro" xfId="3"/>
    <cellStyle name="Euro 2" xfId="24"/>
    <cellStyle name="Euro 3" xfId="25"/>
    <cellStyle name="Lien hypertexte" xfId="4" builtinId="8"/>
    <cellStyle name="Lien hypertexte 2" xfId="20"/>
    <cellStyle name="Normal" xfId="0" builtinId="0"/>
    <cellStyle name="Normal 2" xfId="12"/>
    <cellStyle name="Normal 2 2" xfId="15"/>
    <cellStyle name="Normal 2 3" xfId="26"/>
    <cellStyle name="Normal 3" xfId="16"/>
    <cellStyle name="Normal 3 2" xfId="14"/>
    <cellStyle name="Normal 3 3" xfId="27"/>
    <cellStyle name="Normal 4" xfId="13"/>
    <cellStyle name="Normal 4 2 2" xfId="17"/>
    <cellStyle name="Normal 5" xfId="18"/>
    <cellStyle name="Normal 6" xfId="21"/>
    <cellStyle name="Normal_Receipts" xfId="5"/>
    <cellStyle name="Normal_Résumé2004-2008" xfId="6"/>
    <cellStyle name="Pourcentage 2" xfId="11"/>
    <cellStyle name="Pourcentage 3" xfId="19"/>
    <cellStyle name="Pourcentage_Résumé2004-2008" xfId="7"/>
    <cellStyle name="Standard_Anpassen der Amortisation" xfId="8"/>
    <cellStyle name="Währung [0]_Budget" xfId="9"/>
    <cellStyle name="Währung_Budget" xfId="10"/>
  </cellStyles>
  <dxfs count="309">
    <dxf>
      <font>
        <b/>
        <i/>
      </font>
    </dxf>
    <dxf>
      <font>
        <condense val="0"/>
        <extend val="0"/>
        <color indexed="9"/>
      </font>
      <fill>
        <patternFill>
          <bgColor indexed="9"/>
        </patternFill>
      </fill>
      <border>
        <left/>
        <right/>
        <top/>
        <bottom/>
      </border>
    </dxf>
    <dxf>
      <font>
        <b/>
        <i/>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font>
    </dxf>
    <dxf>
      <font>
        <b/>
        <i/>
      </font>
    </dxf>
    <dxf>
      <font>
        <b/>
        <i/>
      </font>
    </dxf>
    <dxf>
      <font>
        <b/>
        <i/>
      </font>
    </dxf>
    <dxf>
      <font>
        <b/>
        <i/>
        <condense val="0"/>
        <extend val="0"/>
        <color auto="1"/>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condense val="0"/>
        <extend val="0"/>
        <color indexed="26"/>
      </font>
      <fill>
        <patternFill>
          <bgColor indexed="43"/>
        </patternFill>
      </fill>
      <border>
        <left/>
        <right/>
        <top/>
        <bottom/>
      </border>
    </dxf>
    <dxf>
      <font>
        <b/>
        <i val="0"/>
        <condense val="0"/>
        <extend val="0"/>
      </font>
    </dxf>
    <dxf>
      <font>
        <condense val="0"/>
        <extend val="0"/>
        <color indexed="9"/>
      </font>
      <fill>
        <patternFill>
          <bgColor indexed="9"/>
        </patternFill>
      </fill>
      <border>
        <left/>
        <right/>
        <top/>
        <bottom/>
      </border>
    </dxf>
    <dxf>
      <font>
        <b/>
        <i val="0"/>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22"/>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10"/>
      </font>
    </dxf>
    <dxf>
      <font>
        <condense val="0"/>
        <extend val="0"/>
        <color indexed="10"/>
      </font>
    </dxf>
    <dxf>
      <font>
        <b/>
        <i/>
      </font>
    </dxf>
    <dxf>
      <font>
        <condense val="0"/>
        <extend val="0"/>
        <color indexed="9"/>
      </font>
      <fill>
        <patternFill>
          <bgColor indexed="9"/>
        </patternFill>
      </fill>
      <border>
        <left/>
        <right/>
        <top/>
        <bottom/>
      </border>
    </dxf>
    <dxf>
      <font>
        <b/>
        <i/>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font>
    </dxf>
    <dxf>
      <font>
        <b/>
        <i/>
      </font>
    </dxf>
    <dxf>
      <font>
        <b/>
        <i/>
      </font>
    </dxf>
    <dxf>
      <font>
        <b/>
        <i/>
      </font>
    </dxf>
    <dxf>
      <font>
        <b/>
        <i/>
        <condense val="0"/>
        <extend val="0"/>
        <color auto="1"/>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condense val="0"/>
        <extend val="0"/>
        <color indexed="26"/>
      </font>
      <fill>
        <patternFill>
          <bgColor indexed="43"/>
        </patternFill>
      </fill>
      <border>
        <left/>
        <right/>
        <top/>
        <bottom/>
      </border>
    </dxf>
    <dxf>
      <font>
        <b/>
        <i val="0"/>
        <condense val="0"/>
        <extend val="0"/>
      </font>
    </dxf>
    <dxf>
      <font>
        <condense val="0"/>
        <extend val="0"/>
        <color indexed="9"/>
      </font>
      <fill>
        <patternFill>
          <bgColor indexed="9"/>
        </patternFill>
      </fill>
      <border>
        <left/>
        <right/>
        <top/>
        <bottom/>
      </border>
    </dxf>
    <dxf>
      <font>
        <b/>
        <i val="0"/>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22"/>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10"/>
      </font>
    </dxf>
    <dxf>
      <font>
        <condense val="0"/>
        <extend val="0"/>
        <color indexed="10"/>
      </font>
    </dxf>
    <dxf>
      <font>
        <b/>
        <i/>
      </font>
    </dxf>
    <dxf>
      <font>
        <condense val="0"/>
        <extend val="0"/>
        <color indexed="9"/>
      </font>
      <fill>
        <patternFill>
          <bgColor indexed="9"/>
        </patternFill>
      </fill>
      <border>
        <left/>
        <right/>
        <top/>
        <bottom/>
      </border>
    </dxf>
    <dxf>
      <font>
        <b/>
        <i/>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font>
    </dxf>
    <dxf>
      <font>
        <b/>
        <i/>
      </font>
    </dxf>
    <dxf>
      <font>
        <b/>
        <i/>
      </font>
    </dxf>
    <dxf>
      <font>
        <b/>
        <i/>
      </font>
    </dxf>
    <dxf>
      <font>
        <b/>
        <i/>
        <condense val="0"/>
        <extend val="0"/>
        <color auto="1"/>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condense val="0"/>
        <extend val="0"/>
        <color indexed="26"/>
      </font>
      <fill>
        <patternFill>
          <bgColor indexed="43"/>
        </patternFill>
      </fill>
      <border>
        <left/>
        <right/>
        <top/>
        <bottom/>
      </border>
    </dxf>
    <dxf>
      <font>
        <b/>
        <i val="0"/>
        <condense val="0"/>
        <extend val="0"/>
      </font>
    </dxf>
    <dxf>
      <font>
        <condense val="0"/>
        <extend val="0"/>
        <color indexed="9"/>
      </font>
      <fill>
        <patternFill>
          <bgColor indexed="9"/>
        </patternFill>
      </fill>
      <border>
        <left/>
        <right/>
        <top/>
        <bottom/>
      </border>
    </dxf>
    <dxf>
      <font>
        <b/>
        <i val="0"/>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22"/>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10"/>
      </font>
    </dxf>
    <dxf>
      <font>
        <condense val="0"/>
        <extend val="0"/>
        <color indexed="10"/>
      </font>
    </dxf>
    <dxf>
      <font>
        <b/>
        <i/>
      </font>
    </dxf>
    <dxf>
      <font>
        <b/>
        <i/>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font>
    </dxf>
    <dxf>
      <font>
        <b/>
        <i/>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font>
    </dxf>
    <dxf>
      <font>
        <b/>
        <i/>
      </font>
    </dxf>
    <dxf>
      <font>
        <b/>
        <i/>
      </font>
    </dxf>
    <dxf>
      <font>
        <b/>
        <i/>
      </font>
    </dxf>
    <dxf>
      <font>
        <b/>
        <i/>
        <condense val="0"/>
        <extend val="0"/>
        <color auto="1"/>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condense val="0"/>
        <extend val="0"/>
        <color indexed="26"/>
      </font>
      <fill>
        <patternFill>
          <bgColor indexed="43"/>
        </patternFill>
      </fill>
      <border>
        <left/>
        <right/>
        <top/>
        <bottom/>
      </border>
    </dxf>
    <dxf>
      <font>
        <b/>
        <i val="0"/>
        <condense val="0"/>
        <extend val="0"/>
      </font>
    </dxf>
    <dxf>
      <font>
        <condense val="0"/>
        <extend val="0"/>
        <color indexed="9"/>
      </font>
      <fill>
        <patternFill>
          <bgColor indexed="9"/>
        </patternFill>
      </fill>
      <border>
        <left/>
        <right/>
        <top/>
        <bottom/>
      </border>
    </dxf>
    <dxf>
      <font>
        <b/>
        <i val="0"/>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22"/>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10"/>
      </font>
    </dxf>
    <dxf>
      <font>
        <condense val="0"/>
        <extend val="0"/>
        <color indexed="10"/>
      </font>
    </dxf>
    <dxf>
      <fill>
        <patternFill>
          <bgColor indexed="22"/>
        </patternFill>
      </fill>
      <border>
        <left style="thin">
          <color indexed="64"/>
        </left>
        <right style="thin">
          <color indexed="64"/>
        </right>
        <top style="thin">
          <color indexed="64"/>
        </top>
        <bottom style="thin">
          <color indexed="64"/>
        </bottom>
      </border>
    </dxf>
    <dxf>
      <fill>
        <patternFill>
          <bgColor indexed="9"/>
        </patternFill>
      </fill>
      <border>
        <left/>
        <right/>
        <top/>
        <bottom/>
      </border>
    </dxf>
    <dxf>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b val="0"/>
        <condense val="0"/>
        <extend val="0"/>
        <color indexed="9"/>
      </font>
    </dxf>
    <dxf>
      <font>
        <b val="0"/>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b/>
        <i val="0"/>
      </font>
    </dxf>
    <dxf>
      <font>
        <b/>
        <i/>
        <condense val="0"/>
        <extend val="0"/>
      </font>
    </dxf>
    <dxf>
      <font>
        <b/>
        <i val="0"/>
        <condense val="0"/>
        <extend val="0"/>
      </font>
    </dxf>
    <dxf>
      <font>
        <condense val="0"/>
        <extend val="0"/>
        <color indexed="42"/>
      </font>
      <border>
        <left/>
        <right/>
        <top/>
        <bottom/>
      </border>
    </dxf>
    <dxf>
      <font>
        <b/>
        <i val="0"/>
        <condense val="0"/>
        <extend val="0"/>
      </font>
    </dxf>
    <dxf>
      <font>
        <b/>
        <i val="0"/>
        <condense val="0"/>
        <extend val="0"/>
      </font>
    </dxf>
    <dxf>
      <font>
        <b/>
        <i val="0"/>
        <condense val="0"/>
        <extend val="0"/>
      </font>
    </dxf>
    <dxf>
      <font>
        <condense val="0"/>
        <extend val="0"/>
        <color indexed="42"/>
      </font>
    </dxf>
    <dxf>
      <font>
        <condense val="0"/>
        <extend val="0"/>
        <color indexed="42"/>
      </font>
    </dxf>
    <dxf>
      <fill>
        <patternFill patternType="solid">
          <fgColor indexed="45"/>
          <bgColor indexed="9"/>
        </patternFill>
      </fill>
    </dxf>
    <dxf>
      <font>
        <b val="0"/>
        <condense val="0"/>
        <extend val="0"/>
        <color indexed="9"/>
      </font>
      <fill>
        <patternFill patternType="solid">
          <fgColor indexed="45"/>
          <bgColor indexed="9"/>
        </patternFill>
      </fill>
      <border>
        <left/>
        <right/>
        <top/>
        <bottom/>
      </border>
    </dxf>
    <dxf>
      <font>
        <b val="0"/>
        <condense val="0"/>
        <extend val="0"/>
        <color indexed="42"/>
      </font>
    </dxf>
    <dxf>
      <font>
        <color rgb="FFFF0000"/>
      </font>
    </dxf>
    <dxf>
      <font>
        <b/>
        <i val="0"/>
      </font>
    </dxf>
    <dxf>
      <font>
        <color theme="0"/>
      </font>
    </dxf>
    <dxf>
      <font>
        <b/>
        <i val="0"/>
      </font>
    </dxf>
    <dxf>
      <font>
        <b/>
        <i val="0"/>
      </font>
    </dxf>
    <dxf>
      <font>
        <b/>
        <i/>
        <condense val="0"/>
        <extend val="0"/>
        <color auto="1"/>
      </font>
    </dxf>
    <dxf>
      <font>
        <condense val="0"/>
        <extend val="0"/>
        <color indexed="9"/>
      </font>
      <fill>
        <patternFill>
          <bgColor indexed="9"/>
        </patternFill>
      </fill>
      <border>
        <left/>
        <right/>
        <top/>
        <bottom/>
      </border>
    </dxf>
    <dxf>
      <font>
        <color rgb="FFFF0000"/>
      </font>
    </dxf>
    <dxf>
      <font>
        <color theme="0"/>
      </font>
    </dxf>
    <dxf>
      <font>
        <b/>
        <i val="0"/>
      </font>
    </dxf>
    <dxf>
      <font>
        <color theme="0"/>
      </font>
    </dxf>
    <dxf>
      <font>
        <b/>
        <i val="0"/>
      </font>
    </dxf>
    <dxf>
      <font>
        <b/>
        <i val="0"/>
      </font>
    </dxf>
    <dxf>
      <font>
        <b/>
        <i val="0"/>
      </font>
    </dxf>
    <dxf>
      <font>
        <b/>
        <i val="0"/>
      </font>
    </dxf>
    <dxf>
      <font>
        <b/>
        <i val="0"/>
      </font>
    </dxf>
    <dxf>
      <font>
        <b/>
        <i val="0"/>
        <condense val="0"/>
        <extend val="0"/>
      </font>
    </dxf>
    <dxf>
      <font>
        <color theme="0"/>
      </font>
    </dxf>
    <dxf>
      <font>
        <b/>
        <i val="0"/>
      </font>
    </dxf>
    <dxf>
      <font>
        <b/>
        <i val="0"/>
      </font>
    </dxf>
    <dxf>
      <font>
        <b/>
        <i/>
        <condense val="0"/>
        <extend val="0"/>
        <color auto="1"/>
      </font>
    </dxf>
    <dxf>
      <font>
        <condense val="0"/>
        <extend val="0"/>
        <color indexed="9"/>
      </font>
      <fill>
        <patternFill>
          <bgColor indexed="9"/>
        </patternFill>
      </fill>
      <border>
        <left/>
        <right/>
        <top/>
        <bottom/>
      </border>
    </dxf>
    <dxf>
      <font>
        <color theme="0"/>
      </font>
    </dxf>
    <dxf>
      <font>
        <b/>
        <i val="0"/>
      </font>
    </dxf>
    <dxf>
      <font>
        <b/>
        <i val="0"/>
      </font>
    </dxf>
    <dxf>
      <font>
        <b/>
        <i/>
        <condense val="0"/>
        <extend val="0"/>
        <color auto="1"/>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font>
    </dxf>
    <dxf>
      <font>
        <b/>
        <i/>
      </font>
    </dxf>
    <dxf>
      <font>
        <b/>
        <i/>
      </font>
    </dxf>
    <dxf>
      <font>
        <b/>
        <i/>
      </font>
    </dxf>
    <dxf>
      <font>
        <b/>
        <i/>
        <condense val="0"/>
        <extend val="0"/>
        <color auto="1"/>
      </font>
    </dxf>
    <dxf>
      <font>
        <condense val="0"/>
        <extend val="0"/>
        <color indexed="9"/>
      </font>
      <fill>
        <patternFill>
          <bgColor indexed="9"/>
        </patternFill>
      </fill>
      <border>
        <left/>
        <right/>
        <top/>
        <bottom/>
      </border>
    </dxf>
    <dxf>
      <font>
        <b/>
        <i/>
      </font>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b/>
        <i/>
        <condense val="0"/>
        <extend val="0"/>
        <color auto="1"/>
      </font>
    </dxf>
    <dxf>
      <font>
        <condense val="0"/>
        <extend val="0"/>
        <color indexed="9"/>
      </font>
      <fill>
        <patternFill>
          <bgColor indexed="9"/>
        </patternFill>
      </fill>
      <border>
        <left/>
        <right/>
        <top/>
        <bottom/>
      </border>
    </dxf>
    <dxf>
      <font>
        <condense val="0"/>
        <extend val="0"/>
        <color indexed="26"/>
      </font>
      <fill>
        <patternFill>
          <bgColor indexed="43"/>
        </patternFill>
      </fill>
      <border>
        <left/>
        <right/>
        <top/>
        <bottom/>
      </border>
    </dxf>
    <dxf>
      <font>
        <b/>
        <i val="0"/>
        <condense val="0"/>
        <extend val="0"/>
      </font>
    </dxf>
    <dxf>
      <font>
        <condense val="0"/>
        <extend val="0"/>
        <color indexed="9"/>
      </font>
      <fill>
        <patternFill>
          <bgColor indexed="9"/>
        </patternFill>
      </fill>
      <border>
        <left/>
        <right/>
        <top/>
        <bottom/>
      </border>
    </dxf>
    <dxf>
      <font>
        <b/>
        <i val="0"/>
        <condense val="0"/>
        <extend val="0"/>
        <color auto="1"/>
      </font>
    </dxf>
    <dxf>
      <font>
        <condense val="0"/>
        <extend val="0"/>
        <color indexed="9"/>
      </font>
      <fill>
        <patternFill>
          <bgColor indexed="9"/>
        </patternFill>
      </fill>
      <border>
        <left/>
        <right/>
        <top/>
        <bottom/>
      </border>
    </dxf>
    <dxf>
      <font>
        <condense val="0"/>
        <extend val="0"/>
        <color indexed="9"/>
      </font>
      <fill>
        <patternFill>
          <bgColor indexed="22"/>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10"/>
      </font>
    </dxf>
    <dxf>
      <font>
        <condense val="0"/>
        <extend val="0"/>
        <color indexed="10"/>
      </font>
    </dxf>
    <dxf>
      <fill>
        <patternFill patternType="solid">
          <fgColor indexed="31"/>
          <bgColor indexed="22"/>
        </patternFill>
      </fill>
      <border>
        <left style="thin">
          <color indexed="8"/>
        </left>
        <right style="thin">
          <color indexed="8"/>
        </right>
        <top style="thin">
          <color indexed="8"/>
        </top>
        <bottom style="thin">
          <color indexed="8"/>
        </bottom>
      </border>
    </dxf>
    <dxf>
      <font>
        <b/>
        <i val="0"/>
        <color theme="3" tint="-0.24994659260841701"/>
      </font>
      <fill>
        <patternFill patternType="solid">
          <bgColor theme="0" tint="-0.14996795556505021"/>
        </patternFill>
      </fill>
    </dxf>
    <dxf>
      <font>
        <b/>
        <i val="0"/>
        <color theme="3" tint="-0.24994659260841701"/>
      </font>
      <fill>
        <patternFill patternType="solid">
          <bgColor theme="0" tint="-0.14996795556505021"/>
        </patternFill>
      </fill>
    </dxf>
    <dxf>
      <font>
        <b/>
        <i val="0"/>
        <color theme="3" tint="-0.24994659260841701"/>
      </font>
      <fill>
        <patternFill patternType="solid">
          <bgColor theme="0" tint="-0.14996795556505021"/>
        </patternFill>
      </fill>
    </dxf>
    <dxf>
      <font>
        <b/>
        <i val="0"/>
        <color theme="3" tint="-0.24994659260841701"/>
      </font>
      <fill>
        <patternFill patternType="solid">
          <bgColor theme="0" tint="-0.14996795556505021"/>
        </patternFill>
      </fill>
    </dxf>
    <dxf>
      <font>
        <b/>
        <i val="0"/>
        <color theme="3" tint="-0.24994659260841701"/>
      </font>
      <fill>
        <patternFill patternType="solid">
          <bgColor theme="0" tint="-0.14996795556505021"/>
        </patternFill>
      </fill>
    </dxf>
    <dxf>
      <font>
        <color rgb="FF002060"/>
      </font>
    </dxf>
    <dxf>
      <font>
        <color rgb="FFFF0000"/>
      </font>
    </dxf>
    <dxf>
      <font>
        <condense val="0"/>
        <extend val="0"/>
        <color indexed="9"/>
      </font>
    </dxf>
    <dxf>
      <font>
        <color theme="0"/>
      </font>
    </dxf>
    <dxf>
      <font>
        <b/>
        <i val="0"/>
        <color theme="3" tint="-0.24994659260841701"/>
      </font>
      <fill>
        <patternFill patternType="solid">
          <bgColor theme="0" tint="-0.14996795556505021"/>
        </patternFill>
      </fill>
    </dxf>
    <dxf>
      <font>
        <color rgb="FF002060"/>
      </font>
    </dxf>
    <dxf>
      <font>
        <color rgb="FFFF0000"/>
      </font>
    </dxf>
    <dxf>
      <font>
        <condense val="0"/>
        <extend val="0"/>
        <color indexed="9"/>
      </font>
    </dxf>
    <dxf>
      <font>
        <color rgb="FF002060"/>
      </font>
    </dxf>
    <dxf>
      <font>
        <color rgb="FFFF0000"/>
      </font>
    </dxf>
    <dxf>
      <font>
        <condense val="0"/>
        <extend val="0"/>
        <color indexed="9"/>
      </font>
    </dxf>
    <dxf>
      <font>
        <color theme="0"/>
      </font>
    </dxf>
    <dxf>
      <font>
        <b/>
        <i val="0"/>
        <color theme="3" tint="-0.24994659260841701"/>
      </font>
      <fill>
        <patternFill patternType="solid">
          <bgColor theme="0" tint="-0.14996795556505021"/>
        </patternFill>
      </fill>
    </dxf>
    <dxf>
      <font>
        <color rgb="FF002060"/>
      </font>
    </dxf>
    <dxf>
      <font>
        <color rgb="FFFF0000"/>
      </font>
    </dxf>
    <dxf>
      <font>
        <condense val="0"/>
        <extend val="0"/>
        <color indexed="9"/>
      </font>
    </dxf>
    <dxf>
      <font>
        <b/>
        <i val="0"/>
        <color theme="3" tint="-0.24994659260841701"/>
      </font>
      <fill>
        <patternFill patternType="solid">
          <bgColor theme="0" tint="-0.14996795556505021"/>
        </patternFill>
      </fill>
    </dxf>
    <dxf>
      <font>
        <color rgb="FF002060"/>
      </font>
    </dxf>
    <dxf>
      <font>
        <color rgb="FFFF0000"/>
      </font>
    </dxf>
    <dxf>
      <font>
        <condense val="0"/>
        <extend val="0"/>
        <color indexed="9"/>
      </font>
    </dxf>
    <dxf>
      <font>
        <color rgb="FF002060"/>
      </font>
    </dxf>
    <dxf>
      <font>
        <color rgb="FFFF0000"/>
      </font>
    </dxf>
    <dxf>
      <font>
        <condense val="0"/>
        <extend val="0"/>
        <color indexed="9"/>
      </font>
    </dxf>
    <dxf>
      <font>
        <b/>
        <i/>
        <color rgb="FF0000FF"/>
      </font>
      <fill>
        <patternFill>
          <bgColor rgb="FFFFFF99"/>
        </patternFill>
      </fill>
    </dxf>
    <dxf>
      <font>
        <b/>
        <i/>
        <color rgb="FF0000FF"/>
      </font>
      <fill>
        <patternFill>
          <bgColor rgb="FFFFFF99"/>
        </patternFill>
      </fill>
    </dxf>
    <dxf>
      <font>
        <b val="0"/>
        <i/>
        <color rgb="FF0000FF"/>
      </font>
      <fill>
        <patternFill>
          <bgColor rgb="FFFFFF99"/>
        </patternFill>
      </fill>
    </dxf>
    <dxf>
      <font>
        <b/>
        <i/>
        <color rgb="FF0000FF"/>
      </font>
      <fill>
        <patternFill>
          <bgColor rgb="FFFFFF99"/>
        </patternFill>
      </fill>
    </dxf>
    <dxf>
      <font>
        <b/>
        <i/>
        <color rgb="FF0000FF"/>
      </font>
      <fill>
        <patternFill>
          <bgColor rgb="FFFFFF99"/>
        </patternFill>
      </fill>
    </dxf>
    <dxf>
      <font>
        <b val="0"/>
        <i/>
        <color rgb="FF0000FF"/>
      </font>
      <fill>
        <patternFill>
          <bgColor rgb="FFFFFF99"/>
        </patternFill>
      </fill>
    </dxf>
    <dxf>
      <font>
        <b/>
        <i val="0"/>
        <color rgb="FF0000FF"/>
      </font>
      <fill>
        <patternFill>
          <bgColor rgb="FF92D050"/>
        </patternFill>
      </fill>
    </dxf>
    <dxf>
      <font>
        <color rgb="FF002060"/>
      </font>
    </dxf>
    <dxf>
      <font>
        <color rgb="FFFF0000"/>
      </font>
    </dxf>
    <dxf>
      <font>
        <condense val="0"/>
        <extend val="0"/>
        <color indexed="9"/>
      </font>
    </dxf>
    <dxf>
      <font>
        <color rgb="FF002060"/>
      </font>
    </dxf>
    <dxf>
      <font>
        <color rgb="FFFF0000"/>
      </font>
    </dxf>
    <dxf>
      <font>
        <condense val="0"/>
        <extend val="0"/>
        <color indexed="9"/>
      </font>
    </dxf>
    <dxf>
      <font>
        <color rgb="FF002060"/>
      </font>
    </dxf>
    <dxf>
      <font>
        <color rgb="FFFF0000"/>
      </font>
    </dxf>
    <dxf>
      <font>
        <condense val="0"/>
        <extend val="0"/>
        <color indexed="9"/>
      </font>
    </dxf>
    <dxf>
      <font>
        <color theme="0"/>
      </font>
    </dxf>
    <dxf>
      <font>
        <b/>
        <i val="0"/>
        <color theme="3" tint="-0.24994659260841701"/>
      </font>
      <fill>
        <patternFill patternType="solid">
          <bgColor theme="0" tint="-0.14993743705557422"/>
        </patternFill>
      </fill>
    </dxf>
    <dxf>
      <font>
        <b/>
        <i val="0"/>
        <color theme="3" tint="-0.24994659260841701"/>
      </font>
      <fill>
        <patternFill patternType="solid">
          <bgColor theme="0" tint="-0.14996795556505021"/>
        </patternFill>
      </fill>
    </dxf>
    <dxf>
      <font>
        <b/>
        <i val="0"/>
        <color theme="3" tint="-0.24994659260841701"/>
      </font>
      <fill>
        <patternFill patternType="solid">
          <bgColor theme="0" tint="-0.14996795556505021"/>
        </patternFill>
      </fill>
    </dxf>
    <dxf>
      <font>
        <b/>
        <i val="0"/>
        <color rgb="FF0070C0"/>
      </font>
    </dxf>
    <dxf>
      <font>
        <condense val="0"/>
        <extend val="0"/>
        <color indexed="10"/>
      </font>
    </dxf>
    <dxf>
      <font>
        <condense val="0"/>
        <extend val="0"/>
        <color indexed="12"/>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43"/>
      </font>
    </dxf>
    <dxf>
      <font>
        <color rgb="FF002060"/>
      </font>
    </dxf>
    <dxf>
      <font>
        <color rgb="FFFF0000"/>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EFEF"/>
      <rgbColor rgb="00CCFFCC"/>
      <rgbColor rgb="00FFFF99"/>
      <rgbColor rgb="0099CCFF"/>
      <rgbColor rgb="00EFEFEF"/>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TOTAL:points du club</a:t>
            </a:r>
          </a:p>
        </c:rich>
      </c:tx>
      <c:layout>
        <c:manualLayout>
          <c:xMode val="edge"/>
          <c:yMode val="edge"/>
          <c:x val="0.29861184018664338"/>
          <c:y val="3.7313432835820892E-2"/>
        </c:manualLayout>
      </c:layout>
      <c:overlay val="0"/>
      <c:spPr>
        <a:noFill/>
        <a:ln w="25400">
          <a:noFill/>
        </a:ln>
      </c:spPr>
    </c:title>
    <c:autoTitleDeleted val="0"/>
    <c:plotArea>
      <c:layout>
        <c:manualLayout>
          <c:layoutTarget val="inner"/>
          <c:xMode val="edge"/>
          <c:yMode val="edge"/>
          <c:x val="3.472230071411294E-2"/>
          <c:y val="0.2014929044224712"/>
          <c:w val="0.9328724791858346"/>
          <c:h val="0.63059816384052125"/>
        </c:manualLayout>
      </c:layout>
      <c:lineChart>
        <c:grouping val="standard"/>
        <c:varyColors val="0"/>
        <c:ser>
          <c:idx val="0"/>
          <c:order val="0"/>
          <c:spPr>
            <a:ln w="12700">
              <a:solidFill>
                <a:srgbClr val="000080"/>
              </a:solidFill>
              <a:prstDash val="solid"/>
            </a:ln>
          </c:spPr>
          <c:marker>
            <c:symbol val="triangle"/>
            <c:size val="5"/>
            <c:spPr>
              <a:noFill/>
              <a:ln>
                <a:solidFill>
                  <a:srgbClr val="000080"/>
                </a:solidFill>
                <a:prstDash val="solid"/>
              </a:ln>
            </c:spPr>
          </c:marker>
          <c:dLbls>
            <c:spPr>
              <a:noFill/>
              <a:ln w="25400">
                <a:noFill/>
              </a:ln>
            </c:spPr>
            <c:txPr>
              <a:bodyPr/>
              <a:lstStyle/>
              <a:p>
                <a:pPr>
                  <a:defRPr sz="1150" b="0" i="0" u="none" strike="noStrike" baseline="0">
                    <a:solidFill>
                      <a:srgbClr val="000000"/>
                    </a:solidFill>
                    <a:latin typeface="Arial"/>
                    <a:ea typeface="Arial"/>
                    <a:cs typeface="Aria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'points et TOP'!$E$123:$N$123</c:f>
              <c:strCache>
                <c:ptCount val="10"/>
                <c:pt idx="0">
                  <c:v>septembre</c:v>
                </c:pt>
                <c:pt idx="1">
                  <c:v>octobre</c:v>
                </c:pt>
                <c:pt idx="2">
                  <c:v>novembre</c:v>
                </c:pt>
                <c:pt idx="3">
                  <c:v>décembre</c:v>
                </c:pt>
                <c:pt idx="4">
                  <c:v>janvier</c:v>
                </c:pt>
                <c:pt idx="5">
                  <c:v>février</c:v>
                </c:pt>
                <c:pt idx="6">
                  <c:v>mars</c:v>
                </c:pt>
                <c:pt idx="7">
                  <c:v>avril</c:v>
                </c:pt>
                <c:pt idx="8">
                  <c:v>mai</c:v>
                </c:pt>
                <c:pt idx="9">
                  <c:v>juin</c:v>
                </c:pt>
              </c:strCache>
            </c:strRef>
          </c:cat>
          <c:val>
            <c:numRef>
              <c:f>'points et TOP'!$E$124:$N$124</c:f>
              <c:numCache>
                <c:formatCode>0</c:formatCode>
                <c:ptCount val="10"/>
                <c:pt idx="0">
                  <c:v>38914.360199999996</c:v>
                </c:pt>
                <c:pt idx="1">
                  <c:v>38974</c:v>
                </c:pt>
                <c:pt idx="2">
                  <c:v>39096.199999999997</c:v>
                </c:pt>
                <c:pt idx="3">
                  <c:v>39416.51</c:v>
                </c:pt>
                <c:pt idx="4">
                  <c:v>39289.493999999999</c:v>
                </c:pt>
                <c:pt idx="5">
                  <c:v>39503.1</c:v>
                </c:pt>
                <c:pt idx="6">
                  <c:v>39657.299999999996</c:v>
                </c:pt>
                <c:pt idx="7">
                  <c:v>39762.050000000003</c:v>
                </c:pt>
                <c:pt idx="8">
                  <c:v>39886.1</c:v>
                </c:pt>
                <c:pt idx="9">
                  <c:v>39895.599999999999</c:v>
                </c:pt>
              </c:numCache>
            </c:numRef>
          </c:val>
          <c:smooth val="1"/>
        </c:ser>
        <c:dLbls>
          <c:showLegendKey val="0"/>
          <c:showVal val="1"/>
          <c:showCatName val="0"/>
          <c:showSerName val="0"/>
          <c:showPercent val="0"/>
          <c:showBubbleSize val="0"/>
        </c:dLbls>
        <c:marker val="1"/>
        <c:smooth val="0"/>
        <c:axId val="69115904"/>
        <c:axId val="69118592"/>
      </c:lineChart>
      <c:catAx>
        <c:axId val="69115904"/>
        <c:scaling>
          <c:orientation val="minMax"/>
        </c:scaling>
        <c:delete val="0"/>
        <c:axPos val="b"/>
        <c:numFmt formatCode="dd/mm/yyyy" sourceLinked="0"/>
        <c:majorTickMark val="cross"/>
        <c:minorTickMark val="none"/>
        <c:tickLblPos val="low"/>
        <c:txPr>
          <a:bodyPr rot="0" vert="horz" anchor="b" anchorCtr="0"/>
          <a:lstStyle/>
          <a:p>
            <a:pPr>
              <a:defRPr/>
            </a:pPr>
            <a:endParaRPr lang="fr-FR"/>
          </a:p>
        </c:txPr>
        <c:crossAx val="69118592"/>
        <c:crossesAt val="26000"/>
        <c:auto val="1"/>
        <c:lblAlgn val="ctr"/>
        <c:lblOffset val="20"/>
        <c:tickLblSkip val="1"/>
        <c:tickMarkSkip val="1"/>
        <c:noMultiLvlLbl val="0"/>
      </c:catAx>
      <c:valAx>
        <c:axId val="69118592"/>
        <c:scaling>
          <c:orientation val="minMax"/>
        </c:scaling>
        <c:delete val="1"/>
        <c:axPos val="l"/>
        <c:majorGridlines>
          <c:spPr>
            <a:ln w="3175">
              <a:solidFill>
                <a:srgbClr val="C0C0C0"/>
              </a:solidFill>
              <a:prstDash val="sysDash"/>
            </a:ln>
          </c:spPr>
        </c:majorGridlines>
        <c:numFmt formatCode="0" sourceLinked="1"/>
        <c:majorTickMark val="out"/>
        <c:minorTickMark val="none"/>
        <c:tickLblPos val="none"/>
        <c:crossAx val="69115904"/>
        <c:crosses val="autoZero"/>
        <c:crossBetween val="midCat"/>
      </c:valAx>
      <c:spPr>
        <a:solidFill>
          <a:srgbClr val="CC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788" footer="0.49212598450000788"/>
    <c:pageSetup paperSize="9" orientation="landscape"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barChart>
        <c:barDir val="bar"/>
        <c:grouping val="clustered"/>
        <c:varyColors val="0"/>
        <c:ser>
          <c:idx val="0"/>
          <c:order val="0"/>
          <c:tx>
            <c:v>vict ph1</c:v>
          </c:tx>
          <c:invertIfNegative val="0"/>
          <c:cat>
            <c:multiLvlStrRef>
              <c:f>'bilan championnat'!$O$17:$O$23</c:f>
            </c:multiLvlStrRef>
          </c:cat>
          <c:val>
            <c:numRef>
              <c:f>'bilan championnat'!$T$17:$T$23</c:f>
            </c:numRef>
          </c:val>
        </c:ser>
        <c:ser>
          <c:idx val="1"/>
          <c:order val="1"/>
          <c:tx>
            <c:v>vict ph2</c:v>
          </c:tx>
          <c:invertIfNegative val="0"/>
          <c:cat>
            <c:multiLvlStrRef>
              <c:f>'bilan championnat'!$O$17:$O$23</c:f>
            </c:multiLvlStrRef>
          </c:cat>
          <c:val>
            <c:numRef>
              <c:f>'bilan championnat'!$U$17:$U$23</c:f>
            </c:numRef>
          </c:val>
        </c:ser>
        <c:ser>
          <c:idx val="2"/>
          <c:order val="2"/>
          <c:tx>
            <c:v>vict global</c:v>
          </c:tx>
          <c:invertIfNegative val="0"/>
          <c:cat>
            <c:multiLvlStrRef>
              <c:f>'bilan championnat'!$O$17:$O$23</c:f>
            </c:multiLvlStrRef>
          </c:cat>
          <c:val>
            <c:numRef>
              <c:f>'bilan championnat'!$V$17:$V$23</c:f>
            </c:numRef>
          </c:val>
        </c:ser>
        <c:ser>
          <c:idx val="3"/>
          <c:order val="3"/>
          <c:tx>
            <c:v>Déf ph1</c:v>
          </c:tx>
          <c:invertIfNegative val="0"/>
          <c:cat>
            <c:multiLvlStrRef>
              <c:f>'bilan championnat'!$O$17:$O$23</c:f>
            </c:multiLvlStrRef>
          </c:cat>
          <c:val>
            <c:numRef>
              <c:f>'bilan championnat'!$W$17:$W$23</c:f>
            </c:numRef>
          </c:val>
        </c:ser>
        <c:ser>
          <c:idx val="4"/>
          <c:order val="4"/>
          <c:tx>
            <c:v>Déf ph2</c:v>
          </c:tx>
          <c:invertIfNegative val="0"/>
          <c:cat>
            <c:multiLvlStrRef>
              <c:f>'bilan championnat'!$O$17:$O$23</c:f>
            </c:multiLvlStrRef>
          </c:cat>
          <c:val>
            <c:numRef>
              <c:f>'bilan championnat'!$X$17:$X$23</c:f>
            </c:numRef>
          </c:val>
        </c:ser>
        <c:ser>
          <c:idx val="5"/>
          <c:order val="5"/>
          <c:tx>
            <c:v>déf global</c:v>
          </c:tx>
          <c:invertIfNegative val="0"/>
          <c:cat>
            <c:multiLvlStrRef>
              <c:f>'bilan championnat'!$O$17:$O$23</c:f>
            </c:multiLvlStrRef>
          </c:cat>
          <c:val>
            <c:numRef>
              <c:f>'bilan championnat'!$Y$17:$Y$23</c:f>
            </c:numRef>
          </c:val>
        </c:ser>
        <c:dLbls>
          <c:showLegendKey val="0"/>
          <c:showVal val="0"/>
          <c:showCatName val="0"/>
          <c:showSerName val="0"/>
          <c:showPercent val="0"/>
          <c:showBubbleSize val="0"/>
        </c:dLbls>
        <c:gapWidth val="150"/>
        <c:axId val="71122944"/>
        <c:axId val="71124480"/>
      </c:barChart>
      <c:catAx>
        <c:axId val="71122944"/>
        <c:scaling>
          <c:orientation val="minMax"/>
        </c:scaling>
        <c:delete val="0"/>
        <c:axPos val="l"/>
        <c:numFmt formatCode="General" sourceLinked="0"/>
        <c:majorTickMark val="out"/>
        <c:minorTickMark val="none"/>
        <c:tickLblPos val="nextTo"/>
        <c:crossAx val="71124480"/>
        <c:crosses val="autoZero"/>
        <c:auto val="1"/>
        <c:lblAlgn val="ctr"/>
        <c:lblOffset val="100"/>
        <c:noMultiLvlLbl val="0"/>
      </c:catAx>
      <c:valAx>
        <c:axId val="71124480"/>
        <c:scaling>
          <c:orientation val="minMax"/>
        </c:scaling>
        <c:delete val="0"/>
        <c:axPos val="b"/>
        <c:majorGridlines/>
        <c:numFmt formatCode="General" sourceLinked="1"/>
        <c:majorTickMark val="out"/>
        <c:minorTickMark val="none"/>
        <c:tickLblPos val="nextTo"/>
        <c:crossAx val="71122944"/>
        <c:crosses val="autoZero"/>
        <c:crossBetween val="between"/>
      </c:valAx>
    </c:plotArea>
    <c:legend>
      <c:legendPos val="r"/>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Somm.r&#233;sultats!L1C1"/><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Somm.r&#233;sultats!L1C1"/><Relationship Id="rId2" Type="http://schemas.openxmlformats.org/officeDocument/2006/relationships/image" Target="../media/image4.jpeg"/><Relationship Id="rId1" Type="http://schemas.openxmlformats.org/officeDocument/2006/relationships/hyperlink" Target="#acceuil!L1C1"/><Relationship Id="rId5" Type="http://schemas.openxmlformats.org/officeDocument/2006/relationships/image" Target="../media/image5.emf"/><Relationship Id="rId4" Type="http://schemas.openxmlformats.org/officeDocument/2006/relationships/hyperlink" Target="#help1!L100C1"/></Relationships>
</file>

<file path=xl/drawings/_rels/drawing5.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image" Target="../media/image24.png"/><Relationship Id="rId26" Type="http://schemas.openxmlformats.org/officeDocument/2006/relationships/chart" Target="../charts/chart2.xml"/><Relationship Id="rId39" Type="http://schemas.openxmlformats.org/officeDocument/2006/relationships/image" Target="../media/image44.jpeg"/><Relationship Id="rId21" Type="http://schemas.openxmlformats.org/officeDocument/2006/relationships/image" Target="../media/image27.png"/><Relationship Id="rId34" Type="http://schemas.openxmlformats.org/officeDocument/2006/relationships/image" Target="../media/image39.png"/><Relationship Id="rId42" Type="http://schemas.openxmlformats.org/officeDocument/2006/relationships/image" Target="../media/image47.png"/><Relationship Id="rId47" Type="http://schemas.openxmlformats.org/officeDocument/2006/relationships/image" Target="../media/image52.jpeg"/><Relationship Id="rId50" Type="http://schemas.openxmlformats.org/officeDocument/2006/relationships/image" Target="../media/image55.jpeg"/><Relationship Id="rId55" Type="http://schemas.openxmlformats.org/officeDocument/2006/relationships/image" Target="../media/image60.jpe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jpeg"/><Relationship Id="rId33" Type="http://schemas.openxmlformats.org/officeDocument/2006/relationships/image" Target="../media/image38.png"/><Relationship Id="rId38" Type="http://schemas.openxmlformats.org/officeDocument/2006/relationships/image" Target="../media/image43.png"/><Relationship Id="rId46" Type="http://schemas.openxmlformats.org/officeDocument/2006/relationships/image" Target="../media/image5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29" Type="http://schemas.openxmlformats.org/officeDocument/2006/relationships/image" Target="../media/image34.jpeg"/><Relationship Id="rId41" Type="http://schemas.openxmlformats.org/officeDocument/2006/relationships/image" Target="../media/image46.png"/><Relationship Id="rId54" Type="http://schemas.openxmlformats.org/officeDocument/2006/relationships/image" Target="../media/image59.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45" Type="http://schemas.openxmlformats.org/officeDocument/2006/relationships/image" Target="../media/image50.jpeg"/><Relationship Id="rId53" Type="http://schemas.openxmlformats.org/officeDocument/2006/relationships/image" Target="../media/image58.jpe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png"/><Relationship Id="rId10" Type="http://schemas.openxmlformats.org/officeDocument/2006/relationships/image" Target="../media/image16.png"/><Relationship Id="rId19" Type="http://schemas.openxmlformats.org/officeDocument/2006/relationships/image" Target="../media/image25.jpeg"/><Relationship Id="rId31" Type="http://schemas.openxmlformats.org/officeDocument/2006/relationships/image" Target="../media/image36.png"/><Relationship Id="rId44" Type="http://schemas.openxmlformats.org/officeDocument/2006/relationships/image" Target="../media/image49.png"/><Relationship Id="rId52" Type="http://schemas.openxmlformats.org/officeDocument/2006/relationships/image" Target="../media/image57.jpe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jpeg"/><Relationship Id="rId27" Type="http://schemas.openxmlformats.org/officeDocument/2006/relationships/image" Target="../media/image32.jpeg"/><Relationship Id="rId30" Type="http://schemas.openxmlformats.org/officeDocument/2006/relationships/image" Target="../media/image35.png"/><Relationship Id="rId35" Type="http://schemas.openxmlformats.org/officeDocument/2006/relationships/image" Target="../media/image40.jpeg"/><Relationship Id="rId43" Type="http://schemas.openxmlformats.org/officeDocument/2006/relationships/image" Target="../media/image48.png"/><Relationship Id="rId48" Type="http://schemas.openxmlformats.org/officeDocument/2006/relationships/image" Target="../media/image53.jpeg"/><Relationship Id="rId56" Type="http://schemas.openxmlformats.org/officeDocument/2006/relationships/image" Target="../media/image61.wmf"/><Relationship Id="rId8" Type="http://schemas.openxmlformats.org/officeDocument/2006/relationships/image" Target="../media/image14.png"/><Relationship Id="rId51" Type="http://schemas.openxmlformats.org/officeDocument/2006/relationships/image" Target="../media/image56.png"/><Relationship Id="rId3"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6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xdr:from>
      <xdr:col>1</xdr:col>
      <xdr:colOff>457200</xdr:colOff>
      <xdr:row>1</xdr:row>
      <xdr:rowOff>28576</xdr:rowOff>
    </xdr:from>
    <xdr:to>
      <xdr:col>17</xdr:col>
      <xdr:colOff>38100</xdr:colOff>
      <xdr:row>8</xdr:row>
      <xdr:rowOff>198438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4396</xdr:colOff>
      <xdr:row>7</xdr:row>
      <xdr:rowOff>216144</xdr:rowOff>
    </xdr:from>
    <xdr:to>
      <xdr:col>1</xdr:col>
      <xdr:colOff>833071</xdr:colOff>
      <xdr:row>9</xdr:row>
      <xdr:rowOff>150202</xdr:rowOff>
    </xdr:to>
    <xdr:sp macro="" textlink="">
      <xdr:nvSpPr>
        <xdr:cNvPr id="4" name="AutoShape 8">
          <a:hlinkClick xmlns:r="http://schemas.openxmlformats.org/officeDocument/2006/relationships" r:id="rId2" tooltip="Résultats"/>
        </xdr:cNvPr>
        <xdr:cNvSpPr>
          <a:spLocks noChangeArrowheads="1"/>
        </xdr:cNvSpPr>
      </xdr:nvSpPr>
      <xdr:spPr bwMode="auto">
        <a:xfrm>
          <a:off x="356821" y="2454519"/>
          <a:ext cx="828675" cy="391258"/>
        </a:xfrm>
        <a:prstGeom prst="octagon">
          <a:avLst>
            <a:gd name="adj" fmla="val 29287"/>
          </a:avLst>
        </a:prstGeom>
        <a:solidFill>
          <a:srgbClr val="FF99CC"/>
        </a:solidFill>
        <a:ln w="9525">
          <a:solidFill>
            <a:srgbClr val="000000"/>
          </a:solidFill>
          <a:miter lim="800000"/>
          <a:headEnd/>
          <a:tailEnd/>
        </a:ln>
      </xdr:spPr>
      <xdr:txBody>
        <a:bodyPr vertOverflow="clip" wrap="square" lIns="27432" tIns="22860" rIns="27432" bIns="0" anchor="t" upright="1"/>
        <a:lstStyle/>
        <a:p>
          <a:pPr algn="ctr" rtl="1">
            <a:defRPr sz="1000"/>
          </a:pPr>
          <a:r>
            <a:rPr lang="fr-FR" sz="1400" b="1" i="0" strike="noStrike">
              <a:solidFill>
                <a:srgbClr val="000000"/>
              </a:solidFill>
              <a:latin typeface="Arial"/>
              <a:cs typeface="Arial"/>
            </a:rPr>
            <a:t>Retour</a:t>
          </a:r>
        </a:p>
        <a:p>
          <a:pPr algn="ctr" rtl="1">
            <a:defRPr sz="1000"/>
          </a:pPr>
          <a:endParaRPr lang="fr-FR" sz="1400" b="1" i="0" strike="noStrike">
            <a:solidFill>
              <a:srgbClr val="000000"/>
            </a:solidFill>
            <a:latin typeface="Arial"/>
            <a:cs typeface="Arial"/>
          </a:endParaRPr>
        </a:p>
      </xdr:txBody>
    </xdr:sp>
    <xdr:clientData fPrintsWithSheet="0"/>
  </xdr:twoCellAnchor>
  <xdr:twoCellAnchor>
    <xdr:from>
      <xdr:col>35</xdr:col>
      <xdr:colOff>73269</xdr:colOff>
      <xdr:row>24</xdr:row>
      <xdr:rowOff>242522</xdr:rowOff>
    </xdr:from>
    <xdr:to>
      <xdr:col>36</xdr:col>
      <xdr:colOff>241788</xdr:colOff>
      <xdr:row>26</xdr:row>
      <xdr:rowOff>58617</xdr:rowOff>
    </xdr:to>
    <xdr:sp macro="" textlink="">
      <xdr:nvSpPr>
        <xdr:cNvPr id="5" name="AutoShape 108">
          <a:hlinkClick xmlns:r="http://schemas.openxmlformats.org/officeDocument/2006/relationships" r:id="rId2" tooltip="Résultats"/>
        </xdr:cNvPr>
        <xdr:cNvSpPr>
          <a:spLocks noChangeArrowheads="1"/>
        </xdr:cNvSpPr>
      </xdr:nvSpPr>
      <xdr:spPr bwMode="auto">
        <a:xfrm>
          <a:off x="20342469" y="7700597"/>
          <a:ext cx="1178169" cy="387595"/>
        </a:xfrm>
        <a:prstGeom prst="octagon">
          <a:avLst>
            <a:gd name="adj" fmla="val 29287"/>
          </a:avLst>
        </a:prstGeom>
        <a:solidFill>
          <a:srgbClr val="FF99CC"/>
        </a:solidFill>
        <a:ln w="9525">
          <a:solidFill>
            <a:srgbClr val="000000"/>
          </a:solidFill>
          <a:miter lim="800000"/>
          <a:headEnd/>
          <a:tailEnd/>
        </a:ln>
      </xdr:spPr>
      <xdr:txBody>
        <a:bodyPr vertOverflow="clip" wrap="square" lIns="27432" tIns="22860" rIns="27432" bIns="0" anchor="t" upright="1"/>
        <a:lstStyle/>
        <a:p>
          <a:pPr algn="ctr" rtl="1">
            <a:defRPr sz="1000"/>
          </a:pPr>
          <a:r>
            <a:rPr lang="fr-FR" sz="1400" b="1" i="0" strike="noStrike">
              <a:solidFill>
                <a:srgbClr val="000000"/>
              </a:solidFill>
              <a:latin typeface="Arial"/>
              <a:cs typeface="Arial"/>
            </a:rPr>
            <a:t>Retour</a:t>
          </a:r>
        </a:p>
        <a:p>
          <a:pPr algn="ctr" rtl="1">
            <a:defRPr sz="1000"/>
          </a:pPr>
          <a:endParaRPr lang="fr-FR" sz="1400" b="1" i="0" strike="noStrike">
            <a:solidFill>
              <a:srgbClr val="000000"/>
            </a:solidFill>
            <a:latin typeface="Arial"/>
            <a:cs typeface="Arial"/>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xdr:col>
      <xdr:colOff>190500</xdr:colOff>
      <xdr:row>2</xdr:row>
      <xdr:rowOff>133350</xdr:rowOff>
    </xdr:from>
    <xdr:to>
      <xdr:col>9</xdr:col>
      <xdr:colOff>57150</xdr:colOff>
      <xdr:row>7</xdr:row>
      <xdr:rowOff>114300</xdr:rowOff>
    </xdr:to>
    <xdr:sp macro="" textlink="">
      <xdr:nvSpPr>
        <xdr:cNvPr id="2" name="WordArt 1"/>
        <xdr:cNvSpPr>
          <a:spLocks noChangeArrowheads="1" noChangeShapeType="1" noTextEdit="1"/>
        </xdr:cNvSpPr>
      </xdr:nvSpPr>
      <xdr:spPr bwMode="auto">
        <a:xfrm>
          <a:off x="1714500" y="457200"/>
          <a:ext cx="7429500" cy="790575"/>
        </a:xfrm>
        <a:prstGeom prst="rect">
          <a:avLst/>
        </a:prstGeom>
      </xdr:spPr>
      <xdr:txBody>
        <a:bodyPr wrap="none" fromWordArt="1">
          <a:prstTxWarp prst="textPlain">
            <a:avLst>
              <a:gd name="adj" fmla="val 50000"/>
            </a:avLst>
          </a:prstTxWarp>
        </a:bodyPr>
        <a:lstStyle/>
        <a:p>
          <a:pPr algn="ctr" rtl="0">
            <a:buNone/>
          </a:pPr>
          <a:r>
            <a:rPr lang="fr-FR" sz="4400" kern="10" spc="0">
              <a:ln w="9360">
                <a:solidFill>
                  <a:srgbClr val="000000"/>
                </a:solidFill>
                <a:miter lim="800000"/>
                <a:headEnd/>
                <a:tailEnd/>
              </a:ln>
              <a:solidFill>
                <a:srgbClr val="FFFFFF"/>
              </a:solidFill>
              <a:effectLst>
                <a:outerShdw dist="17819" dir="2700000" algn="ctr" rotWithShape="0">
                  <a:srgbClr val="868686"/>
                </a:outerShdw>
              </a:effectLst>
              <a:latin typeface="Arial Black"/>
            </a:rPr>
            <a:t>ASSEMBLEE GENERALE</a:t>
          </a:r>
        </a:p>
      </xdr:txBody>
    </xdr:sp>
    <xdr:clientData/>
  </xdr:twoCellAnchor>
  <xdr:twoCellAnchor>
    <xdr:from>
      <xdr:col>5</xdr:col>
      <xdr:colOff>28575</xdr:colOff>
      <xdr:row>14</xdr:row>
      <xdr:rowOff>828675</xdr:rowOff>
    </xdr:from>
    <xdr:to>
      <xdr:col>6</xdr:col>
      <xdr:colOff>238125</xdr:colOff>
      <xdr:row>33</xdr:row>
      <xdr:rowOff>66675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38575" y="4191000"/>
          <a:ext cx="3200400" cy="3333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47625</xdr:colOff>
      <xdr:row>23</xdr:row>
      <xdr:rowOff>85725</xdr:rowOff>
    </xdr:from>
    <xdr:to>
      <xdr:col>6</xdr:col>
      <xdr:colOff>447675</xdr:colOff>
      <xdr:row>29</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7625" y="3810000"/>
          <a:ext cx="11620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57150</xdr:colOff>
      <xdr:row>8</xdr:row>
      <xdr:rowOff>114300</xdr:rowOff>
    </xdr:from>
    <xdr:to>
      <xdr:col>12</xdr:col>
      <xdr:colOff>657225</xdr:colOff>
      <xdr:row>17</xdr:row>
      <xdr:rowOff>171450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39150" y="1409700"/>
          <a:ext cx="136207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0</xdr:row>
      <xdr:rowOff>0</xdr:rowOff>
    </xdr:from>
    <xdr:to>
      <xdr:col>0</xdr:col>
      <xdr:colOff>971550</xdr:colOff>
      <xdr:row>0</xdr:row>
      <xdr:rowOff>552450</xdr:rowOff>
    </xdr:to>
    <xdr:pic>
      <xdr:nvPicPr>
        <xdr:cNvPr id="2" name="Picture 13">
          <a:hlinkClick xmlns:r="http://schemas.openxmlformats.org/officeDocument/2006/relationships" r:id="rId1" tooltip="Accueil"/>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52425" y="0"/>
          <a:ext cx="409575" cy="161925"/>
        </a:xfrm>
        <a:prstGeom prst="rect">
          <a:avLst/>
        </a:prstGeom>
        <a:noFill/>
        <a:ln w="9525">
          <a:noFill/>
          <a:miter lim="800000"/>
          <a:headEnd/>
          <a:tailEnd/>
        </a:ln>
      </xdr:spPr>
    </xdr:pic>
    <xdr:clientData fPrintsWithSheet="0"/>
  </xdr:twoCellAnchor>
  <xdr:twoCellAnchor>
    <xdr:from>
      <xdr:col>72</xdr:col>
      <xdr:colOff>206375</xdr:colOff>
      <xdr:row>22</xdr:row>
      <xdr:rowOff>155575</xdr:rowOff>
    </xdr:from>
    <xdr:to>
      <xdr:col>73</xdr:col>
      <xdr:colOff>898525</xdr:colOff>
      <xdr:row>23</xdr:row>
      <xdr:rowOff>174625</xdr:rowOff>
    </xdr:to>
    <xdr:sp macro="" textlink="">
      <xdr:nvSpPr>
        <xdr:cNvPr id="3" name="AutoShape 23">
          <a:hlinkClick xmlns:r="http://schemas.openxmlformats.org/officeDocument/2006/relationships" r:id="rId3" tooltip="Résultats"/>
        </xdr:cNvPr>
        <xdr:cNvSpPr>
          <a:spLocks noChangeArrowheads="1"/>
        </xdr:cNvSpPr>
      </xdr:nvSpPr>
      <xdr:spPr bwMode="auto">
        <a:xfrm>
          <a:off x="55070375" y="3717925"/>
          <a:ext cx="1320800" cy="171450"/>
        </a:xfrm>
        <a:prstGeom prst="octagon">
          <a:avLst>
            <a:gd name="adj" fmla="val 29287"/>
          </a:avLst>
        </a:prstGeom>
        <a:solidFill>
          <a:srgbClr val="FF99CC"/>
        </a:solidFill>
        <a:ln w="9525">
          <a:solidFill>
            <a:srgbClr val="000000"/>
          </a:solidFill>
          <a:miter lim="800000"/>
          <a:headEnd/>
          <a:tailEnd/>
        </a:ln>
      </xdr:spPr>
      <xdr:txBody>
        <a:bodyPr vertOverflow="clip" wrap="square" lIns="27432" tIns="22860" rIns="27432" bIns="0" anchor="t" upright="1"/>
        <a:lstStyle/>
        <a:p>
          <a:pPr algn="ctr" rtl="1">
            <a:defRPr sz="1000"/>
          </a:pPr>
          <a:r>
            <a:rPr lang="fr-FR" sz="1400" b="1" i="0" strike="noStrike">
              <a:solidFill>
                <a:srgbClr val="000000"/>
              </a:solidFill>
              <a:latin typeface="Arial"/>
              <a:cs typeface="Arial"/>
            </a:rPr>
            <a:t>Retour</a:t>
          </a:r>
        </a:p>
        <a:p>
          <a:pPr algn="ctr" rtl="1">
            <a:defRPr sz="1000"/>
          </a:pPr>
          <a:endParaRPr lang="fr-FR" sz="1400" b="1" i="0" strike="noStrike">
            <a:solidFill>
              <a:srgbClr val="000000"/>
            </a:solidFill>
            <a:latin typeface="Arial"/>
            <a:cs typeface="Arial"/>
          </a:endParaRPr>
        </a:p>
      </xdr:txBody>
    </xdr:sp>
    <xdr:clientData fPrintsWithSheet="0"/>
  </xdr:twoCellAnchor>
  <xdr:oneCellAnchor>
    <xdr:from>
      <xdr:col>0</xdr:col>
      <xdr:colOff>333375</xdr:colOff>
      <xdr:row>0</xdr:row>
      <xdr:rowOff>276225</xdr:rowOff>
    </xdr:from>
    <xdr:ext cx="514350" cy="381000"/>
    <xdr:pic>
      <xdr:nvPicPr>
        <xdr:cNvPr id="4" name="Picture 26">
          <a:hlinkClick xmlns:r="http://schemas.openxmlformats.org/officeDocument/2006/relationships" r:id="rId4" tooltip="à lire avant utilisation..."/>
        </xdr:cNvPr>
        <xdr:cNvPicPr>
          <a:picLocks noChangeAspect="1" noChangeArrowheads="1"/>
        </xdr:cNvPicPr>
      </xdr:nvPicPr>
      <xdr:blipFill>
        <a:blip xmlns:r="http://schemas.openxmlformats.org/officeDocument/2006/relationships" r:embed="rId5" cstate="print"/>
        <a:srcRect/>
        <a:stretch>
          <a:fillRect/>
        </a:stretch>
      </xdr:blipFill>
      <xdr:spPr bwMode="auto">
        <a:xfrm>
          <a:off x="333375" y="161925"/>
          <a:ext cx="514350" cy="381000"/>
        </a:xfrm>
        <a:prstGeom prst="rect">
          <a:avLst/>
        </a:prstGeom>
        <a:noFill/>
        <a:ln w="9525">
          <a:noFill/>
          <a:miter lim="800000"/>
          <a:headEnd/>
          <a:tailEnd/>
        </a:ln>
      </xdr:spPr>
    </xdr:pic>
    <xdr:clientData fPrintsWithSheet="0"/>
  </xdr:oneCellAnchor>
  <xdr:twoCellAnchor>
    <xdr:from>
      <xdr:col>57</xdr:col>
      <xdr:colOff>28575</xdr:colOff>
      <xdr:row>0</xdr:row>
      <xdr:rowOff>114300</xdr:rowOff>
    </xdr:from>
    <xdr:to>
      <xdr:col>60</xdr:col>
      <xdr:colOff>57150</xdr:colOff>
      <xdr:row>0</xdr:row>
      <xdr:rowOff>419100</xdr:rowOff>
    </xdr:to>
    <xdr:sp macro="" textlink="">
      <xdr:nvSpPr>
        <xdr:cNvPr id="5" name="AutoShape 30">
          <a:hlinkClick xmlns:r="http://schemas.openxmlformats.org/officeDocument/2006/relationships" r:id="rId3" tooltip="Résultats"/>
        </xdr:cNvPr>
        <xdr:cNvSpPr>
          <a:spLocks noChangeArrowheads="1"/>
        </xdr:cNvSpPr>
      </xdr:nvSpPr>
      <xdr:spPr bwMode="auto">
        <a:xfrm>
          <a:off x="43462575" y="114300"/>
          <a:ext cx="2314575" cy="47625"/>
        </a:xfrm>
        <a:prstGeom prst="octagon">
          <a:avLst>
            <a:gd name="adj" fmla="val 29287"/>
          </a:avLst>
        </a:prstGeom>
        <a:solidFill>
          <a:srgbClr val="FF99CC"/>
        </a:solidFill>
        <a:ln w="9525">
          <a:solidFill>
            <a:srgbClr val="000000"/>
          </a:solidFill>
          <a:miter lim="800000"/>
          <a:headEnd/>
          <a:tailEnd/>
        </a:ln>
      </xdr:spPr>
      <xdr:txBody>
        <a:bodyPr vertOverflow="clip" wrap="square" lIns="27432" tIns="22860" rIns="27432" bIns="0" anchor="t" upright="1"/>
        <a:lstStyle/>
        <a:p>
          <a:pPr algn="ctr" rtl="1">
            <a:defRPr sz="1000"/>
          </a:pPr>
          <a:r>
            <a:rPr lang="fr-FR" sz="1400" b="1" i="0" strike="noStrike">
              <a:solidFill>
                <a:srgbClr val="000000"/>
              </a:solidFill>
              <a:latin typeface="Arial"/>
              <a:cs typeface="Arial"/>
            </a:rPr>
            <a:t>Retour</a:t>
          </a:r>
        </a:p>
        <a:p>
          <a:pPr algn="ctr" rtl="1">
            <a:defRPr sz="1000"/>
          </a:pPr>
          <a:endParaRPr lang="fr-FR" sz="1400" b="1" i="0" strike="noStrike">
            <a:solidFill>
              <a:srgbClr val="000000"/>
            </a:solidFill>
            <a:latin typeface="Arial"/>
            <a:cs typeface="Arial"/>
          </a:endParaRPr>
        </a:p>
      </xdr:txBody>
    </xdr:sp>
    <xdr:clientData fPrintsWithSheet="0"/>
  </xdr:twoCellAnchor>
  <xdr:twoCellAnchor>
    <xdr:from>
      <xdr:col>50</xdr:col>
      <xdr:colOff>79375</xdr:colOff>
      <xdr:row>34</xdr:row>
      <xdr:rowOff>231775</xdr:rowOff>
    </xdr:from>
    <xdr:to>
      <xdr:col>53</xdr:col>
      <xdr:colOff>250825</xdr:colOff>
      <xdr:row>35</xdr:row>
      <xdr:rowOff>250825</xdr:rowOff>
    </xdr:to>
    <xdr:sp macro="" textlink="">
      <xdr:nvSpPr>
        <xdr:cNvPr id="6" name="AutoShape 23">
          <a:hlinkClick xmlns:r="http://schemas.openxmlformats.org/officeDocument/2006/relationships" r:id="rId3" tooltip="Résultats"/>
        </xdr:cNvPr>
        <xdr:cNvSpPr>
          <a:spLocks noChangeArrowheads="1"/>
        </xdr:cNvSpPr>
      </xdr:nvSpPr>
      <xdr:spPr bwMode="auto">
        <a:xfrm>
          <a:off x="38179375" y="5670550"/>
          <a:ext cx="2457450" cy="161925"/>
        </a:xfrm>
        <a:prstGeom prst="octagon">
          <a:avLst>
            <a:gd name="adj" fmla="val 29287"/>
          </a:avLst>
        </a:prstGeom>
        <a:solidFill>
          <a:srgbClr val="FF99CC"/>
        </a:solidFill>
        <a:ln w="9525">
          <a:solidFill>
            <a:srgbClr val="000000"/>
          </a:solidFill>
          <a:miter lim="800000"/>
          <a:headEnd/>
          <a:tailEnd/>
        </a:ln>
      </xdr:spPr>
      <xdr:txBody>
        <a:bodyPr vertOverflow="clip" wrap="square" lIns="27432" tIns="22860" rIns="27432" bIns="0" anchor="t" upright="1"/>
        <a:lstStyle/>
        <a:p>
          <a:pPr algn="ctr" rtl="1">
            <a:defRPr sz="1000"/>
          </a:pPr>
          <a:r>
            <a:rPr lang="fr-FR" sz="1400" b="1" i="0" strike="noStrike">
              <a:solidFill>
                <a:srgbClr val="000000"/>
              </a:solidFill>
              <a:latin typeface="Arial"/>
              <a:cs typeface="Arial"/>
            </a:rPr>
            <a:t>Retour</a:t>
          </a:r>
        </a:p>
        <a:p>
          <a:pPr algn="ctr" rtl="1">
            <a:defRPr sz="1000"/>
          </a:pPr>
          <a:endParaRPr lang="fr-FR" sz="1400" b="1" i="0" strike="noStrike">
            <a:solidFill>
              <a:srgbClr val="000000"/>
            </a:solidFill>
            <a:latin typeface="Arial"/>
            <a:cs typeface="Aria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16</xdr:col>
      <xdr:colOff>428625</xdr:colOff>
      <xdr:row>38</xdr:row>
      <xdr:rowOff>133351</xdr:rowOff>
    </xdr:from>
    <xdr:to>
      <xdr:col>17</xdr:col>
      <xdr:colOff>152400</xdr:colOff>
      <xdr:row>42</xdr:row>
      <xdr:rowOff>37050</xdr:rowOff>
    </xdr:to>
    <xdr:pic>
      <xdr:nvPicPr>
        <xdr:cNvPr id="4" name="Picture 60"/>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9258300" y="7810501"/>
          <a:ext cx="485775" cy="694274"/>
        </a:xfrm>
        <a:prstGeom prst="rect">
          <a:avLst/>
        </a:prstGeom>
        <a:noFill/>
      </xdr:spPr>
    </xdr:pic>
    <xdr:clientData/>
  </xdr:twoCellAnchor>
  <xdr:twoCellAnchor>
    <xdr:from>
      <xdr:col>7</xdr:col>
      <xdr:colOff>219075</xdr:colOff>
      <xdr:row>69</xdr:row>
      <xdr:rowOff>28575</xdr:rowOff>
    </xdr:from>
    <xdr:to>
      <xdr:col>9</xdr:col>
      <xdr:colOff>28772</xdr:colOff>
      <xdr:row>72</xdr:row>
      <xdr:rowOff>151350</xdr:rowOff>
    </xdr:to>
    <xdr:pic>
      <xdr:nvPicPr>
        <xdr:cNvPr id="5" name="Picture 15"/>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4572000" y="13354050"/>
          <a:ext cx="609797" cy="703800"/>
        </a:xfrm>
        <a:prstGeom prst="rect">
          <a:avLst/>
        </a:prstGeom>
        <a:noFill/>
      </xdr:spPr>
    </xdr:pic>
    <xdr:clientData/>
  </xdr:twoCellAnchor>
  <xdr:twoCellAnchor>
    <xdr:from>
      <xdr:col>6</xdr:col>
      <xdr:colOff>47625</xdr:colOff>
      <xdr:row>133</xdr:row>
      <xdr:rowOff>52339</xdr:rowOff>
    </xdr:from>
    <xdr:to>
      <xdr:col>7</xdr:col>
      <xdr:colOff>68514</xdr:colOff>
      <xdr:row>136</xdr:row>
      <xdr:rowOff>28576</xdr:rowOff>
    </xdr:to>
    <xdr:pic>
      <xdr:nvPicPr>
        <xdr:cNvPr id="6" name="Picture 62"/>
        <xdr:cNvPicPr preferRelativeResize="0">
          <a:picLocks noChangeArrowheads="1"/>
        </xdr:cNvPicPr>
      </xdr:nvPicPr>
      <xdr:blipFill>
        <a:blip xmlns:r="http://schemas.openxmlformats.org/officeDocument/2006/relationships" r:embed="rId3" cstate="print"/>
        <a:srcRect/>
        <a:stretch>
          <a:fillRect/>
        </a:stretch>
      </xdr:blipFill>
      <xdr:spPr bwMode="auto">
        <a:xfrm>
          <a:off x="4029075" y="24217264"/>
          <a:ext cx="392364" cy="538212"/>
        </a:xfrm>
        <a:prstGeom prst="rect">
          <a:avLst/>
        </a:prstGeom>
        <a:noFill/>
      </xdr:spPr>
    </xdr:pic>
    <xdr:clientData/>
  </xdr:twoCellAnchor>
  <xdr:twoCellAnchor>
    <xdr:from>
      <xdr:col>7</xdr:col>
      <xdr:colOff>304800</xdr:colOff>
      <xdr:row>72</xdr:row>
      <xdr:rowOff>190499</xdr:rowOff>
    </xdr:from>
    <xdr:to>
      <xdr:col>8</xdr:col>
      <xdr:colOff>344738</xdr:colOff>
      <xdr:row>75</xdr:row>
      <xdr:rowOff>129511</xdr:rowOff>
    </xdr:to>
    <xdr:pic>
      <xdr:nvPicPr>
        <xdr:cNvPr id="7" name="Picture 4"/>
        <xdr:cNvPicPr preferRelativeResize="0">
          <a:picLocks noChangeArrowheads="1"/>
        </xdr:cNvPicPr>
      </xdr:nvPicPr>
      <xdr:blipFill>
        <a:blip xmlns:r="http://schemas.openxmlformats.org/officeDocument/2006/relationships" r:embed="rId4" cstate="print"/>
        <a:srcRect/>
        <a:stretch>
          <a:fillRect/>
        </a:stretch>
      </xdr:blipFill>
      <xdr:spPr bwMode="auto">
        <a:xfrm>
          <a:off x="4657725" y="14096999"/>
          <a:ext cx="468563" cy="520037"/>
        </a:xfrm>
        <a:prstGeom prst="rect">
          <a:avLst/>
        </a:prstGeom>
        <a:noFill/>
      </xdr:spPr>
    </xdr:pic>
    <xdr:clientData/>
  </xdr:twoCellAnchor>
  <xdr:twoCellAnchor>
    <xdr:from>
      <xdr:col>6</xdr:col>
      <xdr:colOff>28575</xdr:colOff>
      <xdr:row>69</xdr:row>
      <xdr:rowOff>28333</xdr:rowOff>
    </xdr:from>
    <xdr:to>
      <xdr:col>7</xdr:col>
      <xdr:colOff>197100</xdr:colOff>
      <xdr:row>72</xdr:row>
      <xdr:rowOff>148562</xdr:rowOff>
    </xdr:to>
    <xdr:pic>
      <xdr:nvPicPr>
        <xdr:cNvPr id="8" name="Picture 11"/>
        <xdr:cNvPicPr preferRelativeResize="0">
          <a:picLocks noChangeArrowheads="1"/>
        </xdr:cNvPicPr>
      </xdr:nvPicPr>
      <xdr:blipFill>
        <a:blip xmlns:r="http://schemas.openxmlformats.org/officeDocument/2006/relationships" r:embed="rId5" cstate="print"/>
        <a:srcRect/>
        <a:stretch>
          <a:fillRect/>
        </a:stretch>
      </xdr:blipFill>
      <xdr:spPr bwMode="auto">
        <a:xfrm>
          <a:off x="4010025" y="13353808"/>
          <a:ext cx="540000" cy="701254"/>
        </a:xfrm>
        <a:prstGeom prst="rect">
          <a:avLst/>
        </a:prstGeom>
        <a:noFill/>
      </xdr:spPr>
    </xdr:pic>
    <xdr:clientData/>
  </xdr:twoCellAnchor>
  <xdr:twoCellAnchor>
    <xdr:from>
      <xdr:col>18</xdr:col>
      <xdr:colOff>738188</xdr:colOff>
      <xdr:row>61</xdr:row>
      <xdr:rowOff>114503</xdr:rowOff>
    </xdr:from>
    <xdr:to>
      <xdr:col>19</xdr:col>
      <xdr:colOff>516188</xdr:colOff>
      <xdr:row>65</xdr:row>
      <xdr:rowOff>53757</xdr:rowOff>
    </xdr:to>
    <xdr:pic>
      <xdr:nvPicPr>
        <xdr:cNvPr id="9" name="Picture 74"/>
        <xdr:cNvPicPr preferRelativeResize="0">
          <a:picLocks noChangeArrowheads="1"/>
        </xdr:cNvPicPr>
      </xdr:nvPicPr>
      <xdr:blipFill>
        <a:blip xmlns:r="http://schemas.openxmlformats.org/officeDocument/2006/relationships" r:embed="rId6" cstate="print"/>
        <a:srcRect/>
        <a:stretch>
          <a:fillRect/>
        </a:stretch>
      </xdr:blipFill>
      <xdr:spPr bwMode="auto">
        <a:xfrm>
          <a:off x="11091863" y="11858828"/>
          <a:ext cx="540000" cy="701254"/>
        </a:xfrm>
        <a:prstGeom prst="rect">
          <a:avLst/>
        </a:prstGeom>
        <a:noFill/>
      </xdr:spPr>
    </xdr:pic>
    <xdr:clientData/>
  </xdr:twoCellAnchor>
  <xdr:twoCellAnchor>
    <xdr:from>
      <xdr:col>9</xdr:col>
      <xdr:colOff>328612</xdr:colOff>
      <xdr:row>133</xdr:row>
      <xdr:rowOff>33579</xdr:rowOff>
    </xdr:from>
    <xdr:to>
      <xdr:col>11</xdr:col>
      <xdr:colOff>28575</xdr:colOff>
      <xdr:row>136</xdr:row>
      <xdr:rowOff>28575</xdr:rowOff>
    </xdr:to>
    <xdr:pic>
      <xdr:nvPicPr>
        <xdr:cNvPr id="10" name="Picture 15"/>
        <xdr:cNvPicPr preferRelativeResize="0">
          <a:picLocks noChangeArrowheads="1"/>
        </xdr:cNvPicPr>
      </xdr:nvPicPr>
      <xdr:blipFill>
        <a:blip xmlns:r="http://schemas.openxmlformats.org/officeDocument/2006/relationships" r:embed="rId7" cstate="print"/>
        <a:srcRect/>
        <a:stretch>
          <a:fillRect/>
        </a:stretch>
      </xdr:blipFill>
      <xdr:spPr bwMode="auto">
        <a:xfrm>
          <a:off x="5481637" y="24198504"/>
          <a:ext cx="442913" cy="556971"/>
        </a:xfrm>
        <a:prstGeom prst="rect">
          <a:avLst/>
        </a:prstGeom>
        <a:noFill/>
      </xdr:spPr>
    </xdr:pic>
    <xdr:clientData/>
  </xdr:twoCellAnchor>
  <xdr:twoCellAnchor>
    <xdr:from>
      <xdr:col>8</xdr:col>
      <xdr:colOff>190501</xdr:colOff>
      <xdr:row>112</xdr:row>
      <xdr:rowOff>66681</xdr:rowOff>
    </xdr:from>
    <xdr:to>
      <xdr:col>9</xdr:col>
      <xdr:colOff>200025</xdr:colOff>
      <xdr:row>115</xdr:row>
      <xdr:rowOff>57150</xdr:rowOff>
    </xdr:to>
    <xdr:pic>
      <xdr:nvPicPr>
        <xdr:cNvPr id="11" name="Picture 25"/>
        <xdr:cNvPicPr preferRelativeResize="0">
          <a:picLocks noChangeArrowheads="1"/>
        </xdr:cNvPicPr>
      </xdr:nvPicPr>
      <xdr:blipFill>
        <a:blip xmlns:r="http://schemas.openxmlformats.org/officeDocument/2006/relationships" r:embed="rId8" cstate="print"/>
        <a:srcRect/>
        <a:stretch>
          <a:fillRect/>
        </a:stretch>
      </xdr:blipFill>
      <xdr:spPr bwMode="auto">
        <a:xfrm>
          <a:off x="4972051" y="20650206"/>
          <a:ext cx="380999" cy="523869"/>
        </a:xfrm>
        <a:prstGeom prst="rect">
          <a:avLst/>
        </a:prstGeom>
        <a:noFill/>
      </xdr:spPr>
    </xdr:pic>
    <xdr:clientData/>
  </xdr:twoCellAnchor>
  <xdr:twoCellAnchor>
    <xdr:from>
      <xdr:col>7</xdr:col>
      <xdr:colOff>266700</xdr:colOff>
      <xdr:row>174</xdr:row>
      <xdr:rowOff>57360</xdr:rowOff>
    </xdr:from>
    <xdr:to>
      <xdr:col>9</xdr:col>
      <xdr:colOff>16125</xdr:colOff>
      <xdr:row>177</xdr:row>
      <xdr:rowOff>19050</xdr:rowOff>
    </xdr:to>
    <xdr:pic>
      <xdr:nvPicPr>
        <xdr:cNvPr id="12" name="Picture 27"/>
        <xdr:cNvPicPr preferRelativeResize="0">
          <a:picLocks noChangeArrowheads="1"/>
        </xdr:cNvPicPr>
      </xdr:nvPicPr>
      <xdr:blipFill>
        <a:blip xmlns:r="http://schemas.openxmlformats.org/officeDocument/2006/relationships" r:embed="rId9" cstate="print"/>
        <a:srcRect/>
        <a:stretch>
          <a:fillRect/>
        </a:stretch>
      </xdr:blipFill>
      <xdr:spPr bwMode="auto">
        <a:xfrm>
          <a:off x="4619625" y="31461285"/>
          <a:ext cx="549525" cy="533190"/>
        </a:xfrm>
        <a:prstGeom prst="rect">
          <a:avLst/>
        </a:prstGeom>
        <a:noFill/>
      </xdr:spPr>
    </xdr:pic>
    <xdr:clientData/>
  </xdr:twoCellAnchor>
  <xdr:twoCellAnchor>
    <xdr:from>
      <xdr:col>8</xdr:col>
      <xdr:colOff>152400</xdr:colOff>
      <xdr:row>91</xdr:row>
      <xdr:rowOff>38099</xdr:rowOff>
    </xdr:from>
    <xdr:to>
      <xdr:col>9</xdr:col>
      <xdr:colOff>123825</xdr:colOff>
      <xdr:row>93</xdr:row>
      <xdr:rowOff>152400</xdr:rowOff>
    </xdr:to>
    <xdr:pic>
      <xdr:nvPicPr>
        <xdr:cNvPr id="13" name="Picture 40"/>
        <xdr:cNvPicPr preferRelativeResize="0">
          <a:picLocks noChangeArrowheads="1"/>
        </xdr:cNvPicPr>
      </xdr:nvPicPr>
      <xdr:blipFill>
        <a:blip xmlns:r="http://schemas.openxmlformats.org/officeDocument/2006/relationships" r:embed="rId10" cstate="print"/>
        <a:srcRect/>
        <a:stretch>
          <a:fillRect/>
        </a:stretch>
      </xdr:blipFill>
      <xdr:spPr bwMode="auto">
        <a:xfrm>
          <a:off x="4933950" y="17021174"/>
          <a:ext cx="342900" cy="533401"/>
        </a:xfrm>
        <a:prstGeom prst="rect">
          <a:avLst/>
        </a:prstGeom>
        <a:noFill/>
      </xdr:spPr>
    </xdr:pic>
    <xdr:clientData/>
  </xdr:twoCellAnchor>
  <xdr:twoCellAnchor>
    <xdr:from>
      <xdr:col>5</xdr:col>
      <xdr:colOff>1157291</xdr:colOff>
      <xdr:row>91</xdr:row>
      <xdr:rowOff>47791</xdr:rowOff>
    </xdr:from>
    <xdr:to>
      <xdr:col>7</xdr:col>
      <xdr:colOff>0</xdr:colOff>
      <xdr:row>93</xdr:row>
      <xdr:rowOff>133350</xdr:rowOff>
    </xdr:to>
    <xdr:pic>
      <xdr:nvPicPr>
        <xdr:cNvPr id="14" name="Picture 42"/>
        <xdr:cNvPicPr preferRelativeResize="0">
          <a:picLocks noChangeArrowheads="1"/>
        </xdr:cNvPicPr>
      </xdr:nvPicPr>
      <xdr:blipFill>
        <a:blip xmlns:r="http://schemas.openxmlformats.org/officeDocument/2006/relationships" r:embed="rId11" cstate="print"/>
        <a:srcRect/>
        <a:stretch>
          <a:fillRect/>
        </a:stretch>
      </xdr:blipFill>
      <xdr:spPr bwMode="auto">
        <a:xfrm>
          <a:off x="3948116" y="17030866"/>
          <a:ext cx="404809" cy="504659"/>
        </a:xfrm>
        <a:prstGeom prst="rect">
          <a:avLst/>
        </a:prstGeom>
        <a:noFill/>
      </xdr:spPr>
    </xdr:pic>
    <xdr:clientData/>
  </xdr:twoCellAnchor>
  <xdr:twoCellAnchor>
    <xdr:from>
      <xdr:col>7</xdr:col>
      <xdr:colOff>333375</xdr:colOff>
      <xdr:row>154</xdr:row>
      <xdr:rowOff>24056</xdr:rowOff>
    </xdr:from>
    <xdr:to>
      <xdr:col>9</xdr:col>
      <xdr:colOff>0</xdr:colOff>
      <xdr:row>157</xdr:row>
      <xdr:rowOff>9526</xdr:rowOff>
    </xdr:to>
    <xdr:pic>
      <xdr:nvPicPr>
        <xdr:cNvPr id="15" name="Picture 48"/>
        <xdr:cNvPicPr preferRelativeResize="0">
          <a:picLocks noChangeArrowheads="1"/>
        </xdr:cNvPicPr>
      </xdr:nvPicPr>
      <xdr:blipFill>
        <a:blip xmlns:r="http://schemas.openxmlformats.org/officeDocument/2006/relationships" r:embed="rId12" cstate="print"/>
        <a:srcRect/>
        <a:stretch>
          <a:fillRect/>
        </a:stretch>
      </xdr:blipFill>
      <xdr:spPr bwMode="auto">
        <a:xfrm>
          <a:off x="4686300" y="27798956"/>
          <a:ext cx="466725" cy="556970"/>
        </a:xfrm>
        <a:prstGeom prst="rect">
          <a:avLst/>
        </a:prstGeom>
        <a:noFill/>
      </xdr:spPr>
    </xdr:pic>
    <xdr:clientData/>
  </xdr:twoCellAnchor>
  <xdr:twoCellAnchor>
    <xdr:from>
      <xdr:col>7</xdr:col>
      <xdr:colOff>133349</xdr:colOff>
      <xdr:row>133</xdr:row>
      <xdr:rowOff>23818</xdr:rowOff>
    </xdr:from>
    <xdr:to>
      <xdr:col>8</xdr:col>
      <xdr:colOff>190302</xdr:colOff>
      <xdr:row>136</xdr:row>
      <xdr:rowOff>33064</xdr:rowOff>
    </xdr:to>
    <xdr:pic>
      <xdr:nvPicPr>
        <xdr:cNvPr id="16" name="Picture 6"/>
        <xdr:cNvPicPr>
          <a:picLocks noChangeAspect="1" noChangeArrowheads="1"/>
        </xdr:cNvPicPr>
      </xdr:nvPicPr>
      <xdr:blipFill>
        <a:blip xmlns:r="http://schemas.openxmlformats.org/officeDocument/2006/relationships" r:embed="rId13" cstate="print"/>
        <a:srcRect/>
        <a:stretch>
          <a:fillRect/>
        </a:stretch>
      </xdr:blipFill>
      <xdr:spPr bwMode="auto">
        <a:xfrm>
          <a:off x="4486274" y="24188743"/>
          <a:ext cx="485578" cy="571221"/>
        </a:xfrm>
        <a:prstGeom prst="rect">
          <a:avLst/>
        </a:prstGeom>
        <a:noFill/>
      </xdr:spPr>
    </xdr:pic>
    <xdr:clientData/>
  </xdr:twoCellAnchor>
  <xdr:twoCellAnchor>
    <xdr:from>
      <xdr:col>6</xdr:col>
      <xdr:colOff>19049</xdr:colOff>
      <xdr:row>112</xdr:row>
      <xdr:rowOff>75953</xdr:rowOff>
    </xdr:from>
    <xdr:to>
      <xdr:col>7</xdr:col>
      <xdr:colOff>76199</xdr:colOff>
      <xdr:row>115</xdr:row>
      <xdr:rowOff>47624</xdr:rowOff>
    </xdr:to>
    <xdr:pic>
      <xdr:nvPicPr>
        <xdr:cNvPr id="17" name="Picture 4"/>
        <xdr:cNvPicPr preferRelativeResize="0">
          <a:picLocks noChangeArrowheads="1"/>
        </xdr:cNvPicPr>
      </xdr:nvPicPr>
      <xdr:blipFill>
        <a:blip xmlns:r="http://schemas.openxmlformats.org/officeDocument/2006/relationships" r:embed="rId4" cstate="print"/>
        <a:srcRect/>
        <a:stretch>
          <a:fillRect/>
        </a:stretch>
      </xdr:blipFill>
      <xdr:spPr bwMode="auto">
        <a:xfrm>
          <a:off x="4000499" y="20659478"/>
          <a:ext cx="428625" cy="505071"/>
        </a:xfrm>
        <a:prstGeom prst="rect">
          <a:avLst/>
        </a:prstGeom>
        <a:noFill/>
      </xdr:spPr>
    </xdr:pic>
    <xdr:clientData/>
  </xdr:twoCellAnchor>
  <xdr:twoCellAnchor>
    <xdr:from>
      <xdr:col>15</xdr:col>
      <xdr:colOff>747712</xdr:colOff>
      <xdr:row>89</xdr:row>
      <xdr:rowOff>76200</xdr:rowOff>
    </xdr:from>
    <xdr:to>
      <xdr:col>16</xdr:col>
      <xdr:colOff>525712</xdr:colOff>
      <xdr:row>92</xdr:row>
      <xdr:rowOff>190208</xdr:rowOff>
    </xdr:to>
    <xdr:pic>
      <xdr:nvPicPr>
        <xdr:cNvPr id="18" name="Picture 7"/>
        <xdr:cNvPicPr preferRelativeResize="0">
          <a:picLocks noChangeArrowheads="1"/>
        </xdr:cNvPicPr>
      </xdr:nvPicPr>
      <xdr:blipFill>
        <a:blip xmlns:r="http://schemas.openxmlformats.org/officeDocument/2006/relationships" r:embed="rId14" cstate="print"/>
        <a:srcRect/>
        <a:stretch>
          <a:fillRect/>
        </a:stretch>
      </xdr:blipFill>
      <xdr:spPr bwMode="auto">
        <a:xfrm>
          <a:off x="8815387" y="16678275"/>
          <a:ext cx="540000" cy="723608"/>
        </a:xfrm>
        <a:prstGeom prst="rect">
          <a:avLst/>
        </a:prstGeom>
        <a:noFill/>
      </xdr:spPr>
    </xdr:pic>
    <xdr:clientData/>
  </xdr:twoCellAnchor>
  <xdr:twoCellAnchor>
    <xdr:from>
      <xdr:col>14</xdr:col>
      <xdr:colOff>733425</xdr:colOff>
      <xdr:row>104</xdr:row>
      <xdr:rowOff>9475</xdr:rowOff>
    </xdr:from>
    <xdr:to>
      <xdr:col>15</xdr:col>
      <xdr:colOff>511425</xdr:colOff>
      <xdr:row>107</xdr:row>
      <xdr:rowOff>158279</xdr:rowOff>
    </xdr:to>
    <xdr:pic>
      <xdr:nvPicPr>
        <xdr:cNvPr id="19" name="Picture 7"/>
        <xdr:cNvPicPr preferRelativeResize="0">
          <a:picLocks noChangeArrowheads="1"/>
        </xdr:cNvPicPr>
      </xdr:nvPicPr>
      <xdr:blipFill>
        <a:blip xmlns:r="http://schemas.openxmlformats.org/officeDocument/2006/relationships" r:embed="rId15" cstate="print"/>
        <a:srcRect/>
        <a:stretch>
          <a:fillRect/>
        </a:stretch>
      </xdr:blipFill>
      <xdr:spPr bwMode="auto">
        <a:xfrm>
          <a:off x="8039100" y="19059475"/>
          <a:ext cx="540000" cy="701254"/>
        </a:xfrm>
        <a:prstGeom prst="rect">
          <a:avLst/>
        </a:prstGeom>
        <a:noFill/>
      </xdr:spPr>
    </xdr:pic>
    <xdr:clientData/>
  </xdr:twoCellAnchor>
  <xdr:twoCellAnchor>
    <xdr:from>
      <xdr:col>9</xdr:col>
      <xdr:colOff>28574</xdr:colOff>
      <xdr:row>154</xdr:row>
      <xdr:rowOff>19369</xdr:rowOff>
    </xdr:from>
    <xdr:to>
      <xdr:col>10</xdr:col>
      <xdr:colOff>25650</xdr:colOff>
      <xdr:row>157</xdr:row>
      <xdr:rowOff>19051</xdr:rowOff>
    </xdr:to>
    <xdr:pic>
      <xdr:nvPicPr>
        <xdr:cNvPr id="20" name="Picture 31"/>
        <xdr:cNvPicPr preferRelativeResize="0">
          <a:picLocks noChangeArrowheads="1"/>
        </xdr:cNvPicPr>
      </xdr:nvPicPr>
      <xdr:blipFill>
        <a:blip xmlns:r="http://schemas.openxmlformats.org/officeDocument/2006/relationships" r:embed="rId16" cstate="print"/>
        <a:srcRect/>
        <a:stretch>
          <a:fillRect/>
        </a:stretch>
      </xdr:blipFill>
      <xdr:spPr bwMode="auto">
        <a:xfrm>
          <a:off x="5181599" y="27794269"/>
          <a:ext cx="368551" cy="571182"/>
        </a:xfrm>
        <a:prstGeom prst="rect">
          <a:avLst/>
        </a:prstGeom>
        <a:noFill/>
      </xdr:spPr>
    </xdr:pic>
    <xdr:clientData/>
  </xdr:twoCellAnchor>
  <xdr:twoCellAnchor>
    <xdr:from>
      <xdr:col>10</xdr:col>
      <xdr:colOff>57150</xdr:colOff>
      <xdr:row>154</xdr:row>
      <xdr:rowOff>33340</xdr:rowOff>
    </xdr:from>
    <xdr:to>
      <xdr:col>11</xdr:col>
      <xdr:colOff>100185</xdr:colOff>
      <xdr:row>157</xdr:row>
      <xdr:rowOff>7940</xdr:rowOff>
    </xdr:to>
    <xdr:pic>
      <xdr:nvPicPr>
        <xdr:cNvPr id="21" name="Picture 7"/>
        <xdr:cNvPicPr>
          <a:picLocks noChangeAspect="1" noChangeArrowheads="1"/>
        </xdr:cNvPicPr>
      </xdr:nvPicPr>
      <xdr:blipFill>
        <a:blip xmlns:r="http://schemas.openxmlformats.org/officeDocument/2006/relationships" r:embed="rId17" cstate="print"/>
        <a:srcRect/>
        <a:stretch>
          <a:fillRect/>
        </a:stretch>
      </xdr:blipFill>
      <xdr:spPr bwMode="auto">
        <a:xfrm>
          <a:off x="5581650" y="27808240"/>
          <a:ext cx="414510" cy="546100"/>
        </a:xfrm>
        <a:prstGeom prst="rect">
          <a:avLst/>
        </a:prstGeom>
        <a:noFill/>
      </xdr:spPr>
    </xdr:pic>
    <xdr:clientData/>
  </xdr:twoCellAnchor>
  <xdr:twoCellAnchor>
    <xdr:from>
      <xdr:col>14</xdr:col>
      <xdr:colOff>28575</xdr:colOff>
      <xdr:row>153</xdr:row>
      <xdr:rowOff>166689</xdr:rowOff>
    </xdr:from>
    <xdr:to>
      <xdr:col>14</xdr:col>
      <xdr:colOff>571500</xdr:colOff>
      <xdr:row>157</xdr:row>
      <xdr:rowOff>109539</xdr:rowOff>
    </xdr:to>
    <xdr:pic>
      <xdr:nvPicPr>
        <xdr:cNvPr id="22" name="Picture 9"/>
        <xdr:cNvPicPr>
          <a:picLocks noChangeAspect="1" noChangeArrowheads="1"/>
        </xdr:cNvPicPr>
      </xdr:nvPicPr>
      <xdr:blipFill>
        <a:blip xmlns:r="http://schemas.openxmlformats.org/officeDocument/2006/relationships" r:embed="rId18" cstate="print"/>
        <a:srcRect/>
        <a:stretch>
          <a:fillRect/>
        </a:stretch>
      </xdr:blipFill>
      <xdr:spPr bwMode="auto">
        <a:xfrm>
          <a:off x="7334250" y="27751089"/>
          <a:ext cx="542925" cy="704850"/>
        </a:xfrm>
        <a:prstGeom prst="rect">
          <a:avLst/>
        </a:prstGeom>
        <a:noFill/>
      </xdr:spPr>
    </xdr:pic>
    <xdr:clientData/>
  </xdr:twoCellAnchor>
  <xdr:twoCellAnchor>
    <xdr:from>
      <xdr:col>9</xdr:col>
      <xdr:colOff>285750</xdr:colOff>
      <xdr:row>52</xdr:row>
      <xdr:rowOff>57149</xdr:rowOff>
    </xdr:from>
    <xdr:to>
      <xdr:col>10</xdr:col>
      <xdr:colOff>190500</xdr:colOff>
      <xdr:row>54</xdr:row>
      <xdr:rowOff>38100</xdr:rowOff>
    </xdr:to>
    <xdr:pic>
      <xdr:nvPicPr>
        <xdr:cNvPr id="23" name="Picture 40"/>
        <xdr:cNvPicPr preferRelativeResize="0">
          <a:picLocks noChangeArrowheads="1"/>
        </xdr:cNvPicPr>
      </xdr:nvPicPr>
      <xdr:blipFill>
        <a:blip xmlns:r="http://schemas.openxmlformats.org/officeDocument/2006/relationships" r:embed="rId10" cstate="print"/>
        <a:srcRect/>
        <a:stretch>
          <a:fillRect/>
        </a:stretch>
      </xdr:blipFill>
      <xdr:spPr bwMode="auto">
        <a:xfrm>
          <a:off x="5438775" y="10429874"/>
          <a:ext cx="276225" cy="361951"/>
        </a:xfrm>
        <a:prstGeom prst="rect">
          <a:avLst/>
        </a:prstGeom>
        <a:noFill/>
      </xdr:spPr>
    </xdr:pic>
    <xdr:clientData/>
  </xdr:twoCellAnchor>
  <xdr:twoCellAnchor>
    <xdr:from>
      <xdr:col>15</xdr:col>
      <xdr:colOff>581025</xdr:colOff>
      <xdr:row>42</xdr:row>
      <xdr:rowOff>19049</xdr:rowOff>
    </xdr:from>
    <xdr:to>
      <xdr:col>16</xdr:col>
      <xdr:colOff>76200</xdr:colOff>
      <xdr:row>43</xdr:row>
      <xdr:rowOff>180974</xdr:rowOff>
    </xdr:to>
    <xdr:pic>
      <xdr:nvPicPr>
        <xdr:cNvPr id="24" name="Picture 4"/>
        <xdr:cNvPicPr preferRelativeResize="0">
          <a:picLocks noChangeArrowheads="1"/>
        </xdr:cNvPicPr>
      </xdr:nvPicPr>
      <xdr:blipFill>
        <a:blip xmlns:r="http://schemas.openxmlformats.org/officeDocument/2006/relationships" r:embed="rId4" cstate="print"/>
        <a:srcRect/>
        <a:stretch>
          <a:fillRect/>
        </a:stretch>
      </xdr:blipFill>
      <xdr:spPr bwMode="auto">
        <a:xfrm>
          <a:off x="8648700" y="8486774"/>
          <a:ext cx="257175" cy="352425"/>
        </a:xfrm>
        <a:prstGeom prst="rect">
          <a:avLst/>
        </a:prstGeom>
        <a:noFill/>
      </xdr:spPr>
    </xdr:pic>
    <xdr:clientData/>
  </xdr:twoCellAnchor>
  <xdr:twoCellAnchor>
    <xdr:from>
      <xdr:col>10</xdr:col>
      <xdr:colOff>247650</xdr:colOff>
      <xdr:row>52</xdr:row>
      <xdr:rowOff>46967</xdr:rowOff>
    </xdr:from>
    <xdr:to>
      <xdr:col>11</xdr:col>
      <xdr:colOff>161925</xdr:colOff>
      <xdr:row>54</xdr:row>
      <xdr:rowOff>37049</xdr:rowOff>
    </xdr:to>
    <xdr:pic>
      <xdr:nvPicPr>
        <xdr:cNvPr id="25" name="Picture 60"/>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5772150" y="10419692"/>
          <a:ext cx="285750" cy="371082"/>
        </a:xfrm>
        <a:prstGeom prst="rect">
          <a:avLst/>
        </a:prstGeom>
        <a:noFill/>
      </xdr:spPr>
    </xdr:pic>
    <xdr:clientData/>
  </xdr:twoCellAnchor>
  <xdr:twoCellAnchor>
    <xdr:from>
      <xdr:col>17</xdr:col>
      <xdr:colOff>485775</xdr:colOff>
      <xdr:row>65</xdr:row>
      <xdr:rowOff>19050</xdr:rowOff>
    </xdr:from>
    <xdr:to>
      <xdr:col>18</xdr:col>
      <xdr:colOff>130425</xdr:colOff>
      <xdr:row>68</xdr:row>
      <xdr:rowOff>0</xdr:rowOff>
    </xdr:to>
    <xdr:pic>
      <xdr:nvPicPr>
        <xdr:cNvPr id="26" name="Picture 7"/>
        <xdr:cNvPicPr preferRelativeResize="0">
          <a:picLocks noChangeArrowheads="1"/>
        </xdr:cNvPicPr>
      </xdr:nvPicPr>
      <xdr:blipFill>
        <a:blip xmlns:r="http://schemas.openxmlformats.org/officeDocument/2006/relationships" r:embed="rId19" cstate="print"/>
        <a:srcRect/>
        <a:stretch>
          <a:fillRect/>
        </a:stretch>
      </xdr:blipFill>
      <xdr:spPr bwMode="auto">
        <a:xfrm>
          <a:off x="10077450" y="12525375"/>
          <a:ext cx="406650" cy="581025"/>
        </a:xfrm>
        <a:prstGeom prst="rect">
          <a:avLst/>
        </a:prstGeom>
        <a:noFill/>
      </xdr:spPr>
    </xdr:pic>
    <xdr:clientData/>
  </xdr:twoCellAnchor>
  <xdr:twoCellAnchor>
    <xdr:from>
      <xdr:col>9</xdr:col>
      <xdr:colOff>257175</xdr:colOff>
      <xdr:row>112</xdr:row>
      <xdr:rowOff>57467</xdr:rowOff>
    </xdr:from>
    <xdr:to>
      <xdr:col>10</xdr:col>
      <xdr:colOff>276225</xdr:colOff>
      <xdr:row>115</xdr:row>
      <xdr:rowOff>38101</xdr:rowOff>
    </xdr:to>
    <xdr:pic>
      <xdr:nvPicPr>
        <xdr:cNvPr id="27" name="Picture 23"/>
        <xdr:cNvPicPr preferRelativeResize="0">
          <a:picLocks noChangeArrowheads="1"/>
        </xdr:cNvPicPr>
      </xdr:nvPicPr>
      <xdr:blipFill>
        <a:blip xmlns:r="http://schemas.openxmlformats.org/officeDocument/2006/relationships" r:embed="rId20" cstate="print"/>
        <a:srcRect/>
        <a:stretch>
          <a:fillRect/>
        </a:stretch>
      </xdr:blipFill>
      <xdr:spPr bwMode="auto">
        <a:xfrm>
          <a:off x="5410200" y="20640992"/>
          <a:ext cx="390525" cy="514034"/>
        </a:xfrm>
        <a:prstGeom prst="rect">
          <a:avLst/>
        </a:prstGeom>
        <a:noFill/>
      </xdr:spPr>
    </xdr:pic>
    <xdr:clientData/>
  </xdr:twoCellAnchor>
  <xdr:twoCellAnchor>
    <xdr:from>
      <xdr:col>6</xdr:col>
      <xdr:colOff>257176</xdr:colOff>
      <xdr:row>154</xdr:row>
      <xdr:rowOff>42943</xdr:rowOff>
    </xdr:from>
    <xdr:to>
      <xdr:col>7</xdr:col>
      <xdr:colOff>301875</xdr:colOff>
      <xdr:row>156</xdr:row>
      <xdr:rowOff>180975</xdr:rowOff>
    </xdr:to>
    <xdr:pic>
      <xdr:nvPicPr>
        <xdr:cNvPr id="28" name="Picture 60"/>
        <xdr:cNvPicPr preferRelativeResize="0">
          <a:picLocks noChangeArrowheads="1"/>
        </xdr:cNvPicPr>
      </xdr:nvPicPr>
      <xdr:blipFill>
        <a:blip xmlns:r="http://schemas.openxmlformats.org/officeDocument/2006/relationships" r:embed="rId21" cstate="print"/>
        <a:srcRect/>
        <a:stretch>
          <a:fillRect/>
        </a:stretch>
      </xdr:blipFill>
      <xdr:spPr bwMode="auto">
        <a:xfrm>
          <a:off x="4238626" y="27817843"/>
          <a:ext cx="416174" cy="519032"/>
        </a:xfrm>
        <a:prstGeom prst="rect">
          <a:avLst/>
        </a:prstGeom>
        <a:noFill/>
      </xdr:spPr>
    </xdr:pic>
    <xdr:clientData/>
  </xdr:twoCellAnchor>
  <xdr:twoCellAnchor>
    <xdr:from>
      <xdr:col>6</xdr:col>
      <xdr:colOff>151418</xdr:colOff>
      <xdr:row>115</xdr:row>
      <xdr:rowOff>95251</xdr:rowOff>
    </xdr:from>
    <xdr:to>
      <xdr:col>7</xdr:col>
      <xdr:colOff>254508</xdr:colOff>
      <xdr:row>118</xdr:row>
      <xdr:rowOff>153065</xdr:rowOff>
    </xdr:to>
    <xdr:pic>
      <xdr:nvPicPr>
        <xdr:cNvPr id="29" name="Picture 13"/>
        <xdr:cNvPicPr>
          <a:picLocks noChangeAspect="1" noChangeArrowheads="1"/>
        </xdr:cNvPicPr>
      </xdr:nvPicPr>
      <xdr:blipFill>
        <a:blip xmlns:r="http://schemas.openxmlformats.org/officeDocument/2006/relationships" r:embed="rId22" cstate="print"/>
        <a:srcRect/>
        <a:stretch>
          <a:fillRect/>
        </a:stretch>
      </xdr:blipFill>
      <xdr:spPr bwMode="auto">
        <a:xfrm>
          <a:off x="4132868" y="21212176"/>
          <a:ext cx="474565" cy="629314"/>
        </a:xfrm>
        <a:prstGeom prst="rect">
          <a:avLst/>
        </a:prstGeom>
        <a:noFill/>
      </xdr:spPr>
    </xdr:pic>
    <xdr:clientData/>
  </xdr:twoCellAnchor>
  <xdr:twoCellAnchor>
    <xdr:from>
      <xdr:col>6</xdr:col>
      <xdr:colOff>57150</xdr:colOff>
      <xdr:row>174</xdr:row>
      <xdr:rowOff>69883</xdr:rowOff>
    </xdr:from>
    <xdr:to>
      <xdr:col>7</xdr:col>
      <xdr:colOff>168525</xdr:colOff>
      <xdr:row>177</xdr:row>
      <xdr:rowOff>60325</xdr:rowOff>
    </xdr:to>
    <xdr:pic>
      <xdr:nvPicPr>
        <xdr:cNvPr id="30" name="Picture 29"/>
        <xdr:cNvPicPr preferRelativeResize="0">
          <a:picLocks noChangeArrowheads="1"/>
        </xdr:cNvPicPr>
      </xdr:nvPicPr>
      <xdr:blipFill>
        <a:blip xmlns:r="http://schemas.openxmlformats.org/officeDocument/2006/relationships" r:embed="rId23" cstate="print"/>
        <a:srcRect/>
        <a:stretch>
          <a:fillRect/>
        </a:stretch>
      </xdr:blipFill>
      <xdr:spPr bwMode="auto">
        <a:xfrm>
          <a:off x="4038600" y="31473808"/>
          <a:ext cx="482850" cy="561942"/>
        </a:xfrm>
        <a:prstGeom prst="rect">
          <a:avLst/>
        </a:prstGeom>
        <a:noFill/>
      </xdr:spPr>
    </xdr:pic>
    <xdr:clientData/>
  </xdr:twoCellAnchor>
  <xdr:twoCellAnchor>
    <xdr:from>
      <xdr:col>13</xdr:col>
      <xdr:colOff>285750</xdr:colOff>
      <xdr:row>151</xdr:row>
      <xdr:rowOff>28575</xdr:rowOff>
    </xdr:from>
    <xdr:to>
      <xdr:col>13</xdr:col>
      <xdr:colOff>666750</xdr:colOff>
      <xdr:row>153</xdr:row>
      <xdr:rowOff>150463</xdr:rowOff>
    </xdr:to>
    <xdr:pic>
      <xdr:nvPicPr>
        <xdr:cNvPr id="31" name="Picture 3"/>
        <xdr:cNvPicPr preferRelativeResize="0">
          <a:picLocks noChangeArrowheads="1"/>
        </xdr:cNvPicPr>
      </xdr:nvPicPr>
      <xdr:blipFill>
        <a:blip xmlns:r="http://schemas.openxmlformats.org/officeDocument/2006/relationships" r:embed="rId24" cstate="print"/>
        <a:srcRect/>
        <a:stretch>
          <a:fillRect/>
        </a:stretch>
      </xdr:blipFill>
      <xdr:spPr bwMode="auto">
        <a:xfrm>
          <a:off x="6829425" y="27231975"/>
          <a:ext cx="381000" cy="502888"/>
        </a:xfrm>
        <a:prstGeom prst="rect">
          <a:avLst/>
        </a:prstGeom>
        <a:noFill/>
      </xdr:spPr>
    </xdr:pic>
    <xdr:clientData/>
  </xdr:twoCellAnchor>
  <xdr:twoCellAnchor>
    <xdr:from>
      <xdr:col>8</xdr:col>
      <xdr:colOff>333374</xdr:colOff>
      <xdr:row>52</xdr:row>
      <xdr:rowOff>28573</xdr:rowOff>
    </xdr:from>
    <xdr:to>
      <xdr:col>9</xdr:col>
      <xdr:colOff>228600</xdr:colOff>
      <xdr:row>54</xdr:row>
      <xdr:rowOff>19049</xdr:rowOff>
    </xdr:to>
    <xdr:pic>
      <xdr:nvPicPr>
        <xdr:cNvPr id="32" name="Picture 11"/>
        <xdr:cNvPicPr>
          <a:picLocks noChangeAspect="1" noChangeArrowheads="1"/>
        </xdr:cNvPicPr>
      </xdr:nvPicPr>
      <xdr:blipFill>
        <a:blip xmlns:r="http://schemas.openxmlformats.org/officeDocument/2006/relationships" r:embed="rId25" cstate="print"/>
        <a:srcRect/>
        <a:stretch>
          <a:fillRect/>
        </a:stretch>
      </xdr:blipFill>
      <xdr:spPr bwMode="auto">
        <a:xfrm>
          <a:off x="5114924" y="10401298"/>
          <a:ext cx="266701" cy="371476"/>
        </a:xfrm>
        <a:prstGeom prst="rect">
          <a:avLst/>
        </a:prstGeom>
        <a:noFill/>
      </xdr:spPr>
    </xdr:pic>
    <xdr:clientData/>
  </xdr:twoCellAnchor>
  <xdr:twoCellAnchor>
    <xdr:from>
      <xdr:col>18</xdr:col>
      <xdr:colOff>9525</xdr:colOff>
      <xdr:row>0</xdr:row>
      <xdr:rowOff>142875</xdr:rowOff>
    </xdr:from>
    <xdr:to>
      <xdr:col>24</xdr:col>
      <xdr:colOff>9525</xdr:colOff>
      <xdr:row>13</xdr:row>
      <xdr:rowOff>228600</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57150</xdr:colOff>
      <xdr:row>27</xdr:row>
      <xdr:rowOff>79257</xdr:rowOff>
    </xdr:from>
    <xdr:to>
      <xdr:col>9</xdr:col>
      <xdr:colOff>266700</xdr:colOff>
      <xdr:row>33</xdr:row>
      <xdr:rowOff>104775</xdr:rowOff>
    </xdr:to>
    <xdr:pic>
      <xdr:nvPicPr>
        <xdr:cNvPr id="34" name="Picture 1" descr="http://muzillactennisdetable.hautetfort.com/media/01/00/1596655661.png"/>
        <xdr:cNvPicPr>
          <a:picLocks noChangeAspect="1" noChangeArrowheads="1"/>
        </xdr:cNvPicPr>
      </xdr:nvPicPr>
      <xdr:blipFill>
        <a:blip xmlns:r="http://schemas.openxmlformats.org/officeDocument/2006/relationships" r:embed="rId27" cstate="print"/>
        <a:srcRect/>
        <a:stretch>
          <a:fillRect/>
        </a:stretch>
      </xdr:blipFill>
      <xdr:spPr bwMode="auto">
        <a:xfrm>
          <a:off x="4038600" y="5965707"/>
          <a:ext cx="1381125" cy="1244718"/>
        </a:xfrm>
        <a:prstGeom prst="rect">
          <a:avLst/>
        </a:prstGeom>
        <a:noFill/>
      </xdr:spPr>
    </xdr:pic>
    <xdr:clientData/>
  </xdr:twoCellAnchor>
  <xdr:twoCellAnchor>
    <xdr:from>
      <xdr:col>7</xdr:col>
      <xdr:colOff>85724</xdr:colOff>
      <xdr:row>112</xdr:row>
      <xdr:rowOff>57151</xdr:rowOff>
    </xdr:from>
    <xdr:to>
      <xdr:col>8</xdr:col>
      <xdr:colOff>171449</xdr:colOff>
      <xdr:row>115</xdr:row>
      <xdr:rowOff>57151</xdr:rowOff>
    </xdr:to>
    <xdr:pic>
      <xdr:nvPicPr>
        <xdr:cNvPr id="35" name="Picture 38"/>
        <xdr:cNvPicPr preferRelativeResize="0">
          <a:picLocks noChangeArrowheads="1"/>
        </xdr:cNvPicPr>
      </xdr:nvPicPr>
      <xdr:blipFill>
        <a:blip xmlns:r="http://schemas.openxmlformats.org/officeDocument/2006/relationships" r:embed="rId28" cstate="print"/>
        <a:srcRect/>
        <a:stretch>
          <a:fillRect/>
        </a:stretch>
      </xdr:blipFill>
      <xdr:spPr bwMode="auto">
        <a:xfrm>
          <a:off x="4438649" y="20640676"/>
          <a:ext cx="514350" cy="533400"/>
        </a:xfrm>
        <a:prstGeom prst="rect">
          <a:avLst/>
        </a:prstGeom>
        <a:noFill/>
      </xdr:spPr>
    </xdr:pic>
    <xdr:clientData/>
  </xdr:twoCellAnchor>
  <xdr:twoCellAnchor>
    <xdr:from>
      <xdr:col>15</xdr:col>
      <xdr:colOff>380999</xdr:colOff>
      <xdr:row>38</xdr:row>
      <xdr:rowOff>28576</xdr:rowOff>
    </xdr:from>
    <xdr:to>
      <xdr:col>16</xdr:col>
      <xdr:colOff>85724</xdr:colOff>
      <xdr:row>40</xdr:row>
      <xdr:rowOff>171451</xdr:rowOff>
    </xdr:to>
    <xdr:pic>
      <xdr:nvPicPr>
        <xdr:cNvPr id="36" name="Picture 38"/>
        <xdr:cNvPicPr preferRelativeResize="0">
          <a:picLocks noChangeArrowheads="1"/>
        </xdr:cNvPicPr>
      </xdr:nvPicPr>
      <xdr:blipFill>
        <a:blip xmlns:r="http://schemas.openxmlformats.org/officeDocument/2006/relationships" r:embed="rId28" cstate="print"/>
        <a:srcRect/>
        <a:stretch>
          <a:fillRect/>
        </a:stretch>
      </xdr:blipFill>
      <xdr:spPr bwMode="auto">
        <a:xfrm>
          <a:off x="8448674" y="7705726"/>
          <a:ext cx="466725" cy="552450"/>
        </a:xfrm>
        <a:prstGeom prst="rect">
          <a:avLst/>
        </a:prstGeom>
        <a:noFill/>
      </xdr:spPr>
    </xdr:pic>
    <xdr:clientData/>
  </xdr:twoCellAnchor>
  <xdr:twoCellAnchor>
    <xdr:from>
      <xdr:col>17</xdr:col>
      <xdr:colOff>476250</xdr:colOff>
      <xdr:row>29</xdr:row>
      <xdr:rowOff>57150</xdr:rowOff>
    </xdr:from>
    <xdr:to>
      <xdr:col>18</xdr:col>
      <xdr:colOff>63010</xdr:colOff>
      <xdr:row>31</xdr:row>
      <xdr:rowOff>161923</xdr:rowOff>
    </xdr:to>
    <xdr:pic>
      <xdr:nvPicPr>
        <xdr:cNvPr id="38" name="Picture 11"/>
        <xdr:cNvPicPr>
          <a:picLocks noChangeAspect="1" noChangeArrowheads="1"/>
        </xdr:cNvPicPr>
      </xdr:nvPicPr>
      <xdr:blipFill>
        <a:blip xmlns:r="http://schemas.openxmlformats.org/officeDocument/2006/relationships" r:embed="rId25" cstate="print"/>
        <a:srcRect/>
        <a:stretch>
          <a:fillRect/>
        </a:stretch>
      </xdr:blipFill>
      <xdr:spPr bwMode="auto">
        <a:xfrm>
          <a:off x="10067925" y="6400800"/>
          <a:ext cx="348760" cy="485773"/>
        </a:xfrm>
        <a:prstGeom prst="rect">
          <a:avLst/>
        </a:prstGeom>
        <a:noFill/>
      </xdr:spPr>
    </xdr:pic>
    <xdr:clientData/>
  </xdr:twoCellAnchor>
  <xdr:twoCellAnchor>
    <xdr:from>
      <xdr:col>6</xdr:col>
      <xdr:colOff>47625</xdr:colOff>
      <xdr:row>48</xdr:row>
      <xdr:rowOff>76201</xdr:rowOff>
    </xdr:from>
    <xdr:to>
      <xdr:col>7</xdr:col>
      <xdr:colOff>104776</xdr:colOff>
      <xdr:row>51</xdr:row>
      <xdr:rowOff>1</xdr:rowOff>
    </xdr:to>
    <xdr:pic>
      <xdr:nvPicPr>
        <xdr:cNvPr id="39" name="Image 38" descr="Clément"/>
        <xdr:cNvPicPr preferRelativeResize="0">
          <a:picLocks/>
        </xdr:cNvPicPr>
      </xdr:nvPicPr>
      <xdr:blipFill>
        <a:blip xmlns:r="http://schemas.openxmlformats.org/officeDocument/2006/relationships" r:embed="rId29" cstate="print"/>
        <a:srcRect/>
        <a:stretch>
          <a:fillRect/>
        </a:stretch>
      </xdr:blipFill>
      <xdr:spPr bwMode="auto">
        <a:xfrm>
          <a:off x="4029075" y="9686926"/>
          <a:ext cx="428626" cy="495300"/>
        </a:xfrm>
        <a:prstGeom prst="rect">
          <a:avLst/>
        </a:prstGeom>
        <a:noFill/>
        <a:ln w="9525">
          <a:noFill/>
          <a:miter lim="800000"/>
          <a:headEnd/>
          <a:tailEnd/>
        </a:ln>
      </xdr:spPr>
    </xdr:pic>
    <xdr:clientData/>
  </xdr:twoCellAnchor>
  <xdr:twoCellAnchor>
    <xdr:from>
      <xdr:col>15</xdr:col>
      <xdr:colOff>228600</xdr:colOff>
      <xdr:row>62</xdr:row>
      <xdr:rowOff>66675</xdr:rowOff>
    </xdr:from>
    <xdr:to>
      <xdr:col>15</xdr:col>
      <xdr:colOff>628650</xdr:colOff>
      <xdr:row>65</xdr:row>
      <xdr:rowOff>38100</xdr:rowOff>
    </xdr:to>
    <xdr:pic>
      <xdr:nvPicPr>
        <xdr:cNvPr id="40" name="Image 39" descr="Clément"/>
        <xdr:cNvPicPr preferRelativeResize="0">
          <a:picLocks/>
        </xdr:cNvPicPr>
      </xdr:nvPicPr>
      <xdr:blipFill>
        <a:blip xmlns:r="http://schemas.openxmlformats.org/officeDocument/2006/relationships" r:embed="rId29" cstate="print"/>
        <a:srcRect/>
        <a:stretch>
          <a:fillRect/>
        </a:stretch>
      </xdr:blipFill>
      <xdr:spPr bwMode="auto">
        <a:xfrm>
          <a:off x="8296275" y="12001500"/>
          <a:ext cx="400050" cy="542925"/>
        </a:xfrm>
        <a:prstGeom prst="rect">
          <a:avLst/>
        </a:prstGeom>
        <a:noFill/>
        <a:ln w="9525">
          <a:noFill/>
          <a:miter lim="800000"/>
          <a:headEnd/>
          <a:tailEnd/>
        </a:ln>
      </xdr:spPr>
    </xdr:pic>
    <xdr:clientData/>
  </xdr:twoCellAnchor>
  <xdr:twoCellAnchor>
    <xdr:from>
      <xdr:col>10</xdr:col>
      <xdr:colOff>1126</xdr:colOff>
      <xdr:row>30</xdr:row>
      <xdr:rowOff>95250</xdr:rowOff>
    </xdr:from>
    <xdr:to>
      <xdr:col>11</xdr:col>
      <xdr:colOff>112233</xdr:colOff>
      <xdr:row>33</xdr:row>
      <xdr:rowOff>94697</xdr:rowOff>
    </xdr:to>
    <xdr:pic>
      <xdr:nvPicPr>
        <xdr:cNvPr id="41" name="Picture 8"/>
        <xdr:cNvPicPr>
          <a:picLocks noChangeAspect="1" noChangeArrowheads="1"/>
        </xdr:cNvPicPr>
      </xdr:nvPicPr>
      <xdr:blipFill>
        <a:blip xmlns:r="http://schemas.openxmlformats.org/officeDocument/2006/relationships" r:embed="rId30" cstate="print"/>
        <a:srcRect/>
        <a:stretch>
          <a:fillRect/>
        </a:stretch>
      </xdr:blipFill>
      <xdr:spPr bwMode="auto">
        <a:xfrm>
          <a:off x="5525626" y="6629400"/>
          <a:ext cx="482582" cy="570947"/>
        </a:xfrm>
        <a:prstGeom prst="rect">
          <a:avLst/>
        </a:prstGeom>
        <a:noFill/>
      </xdr:spPr>
    </xdr:pic>
    <xdr:clientData/>
  </xdr:twoCellAnchor>
  <xdr:twoCellAnchor>
    <xdr:from>
      <xdr:col>6</xdr:col>
      <xdr:colOff>85725</xdr:colOff>
      <xdr:row>51</xdr:row>
      <xdr:rowOff>35690</xdr:rowOff>
    </xdr:from>
    <xdr:to>
      <xdr:col>7</xdr:col>
      <xdr:colOff>95250</xdr:colOff>
      <xdr:row>54</xdr:row>
      <xdr:rowOff>8475</xdr:rowOff>
    </xdr:to>
    <xdr:pic>
      <xdr:nvPicPr>
        <xdr:cNvPr id="42" name="Picture 7"/>
        <xdr:cNvPicPr>
          <a:picLocks noChangeAspect="1" noChangeArrowheads="1"/>
        </xdr:cNvPicPr>
      </xdr:nvPicPr>
      <xdr:blipFill>
        <a:blip xmlns:r="http://schemas.openxmlformats.org/officeDocument/2006/relationships" r:embed="rId31" cstate="print"/>
        <a:srcRect/>
        <a:stretch>
          <a:fillRect/>
        </a:stretch>
      </xdr:blipFill>
      <xdr:spPr bwMode="auto">
        <a:xfrm>
          <a:off x="4067175" y="10217915"/>
          <a:ext cx="381000" cy="544285"/>
        </a:xfrm>
        <a:prstGeom prst="rect">
          <a:avLst/>
        </a:prstGeom>
        <a:noFill/>
      </xdr:spPr>
    </xdr:pic>
    <xdr:clientData/>
  </xdr:twoCellAnchor>
  <xdr:twoCellAnchor>
    <xdr:from>
      <xdr:col>11</xdr:col>
      <xdr:colOff>142799</xdr:colOff>
      <xdr:row>154</xdr:row>
      <xdr:rowOff>47625</xdr:rowOff>
    </xdr:from>
    <xdr:to>
      <xdr:col>12</xdr:col>
      <xdr:colOff>180975</xdr:colOff>
      <xdr:row>156</xdr:row>
      <xdr:rowOff>188388</xdr:rowOff>
    </xdr:to>
    <xdr:pic>
      <xdr:nvPicPr>
        <xdr:cNvPr id="43" name="Picture 56"/>
        <xdr:cNvPicPr preferRelativeResize="0">
          <a:picLocks noChangeArrowheads="1"/>
        </xdr:cNvPicPr>
      </xdr:nvPicPr>
      <xdr:blipFill>
        <a:blip xmlns:r="http://schemas.openxmlformats.org/officeDocument/2006/relationships" r:embed="rId32" cstate="print"/>
        <a:srcRect/>
        <a:stretch>
          <a:fillRect/>
        </a:stretch>
      </xdr:blipFill>
      <xdr:spPr bwMode="auto">
        <a:xfrm>
          <a:off x="6038774" y="27822525"/>
          <a:ext cx="400126" cy="521763"/>
        </a:xfrm>
        <a:prstGeom prst="rect">
          <a:avLst/>
        </a:prstGeom>
        <a:noFill/>
      </xdr:spPr>
    </xdr:pic>
    <xdr:clientData/>
  </xdr:twoCellAnchor>
  <xdr:twoCellAnchor editAs="oneCell">
    <xdr:from>
      <xdr:col>9</xdr:col>
      <xdr:colOff>200025</xdr:colOff>
      <xdr:row>91</xdr:row>
      <xdr:rowOff>69671</xdr:rowOff>
    </xdr:from>
    <xdr:to>
      <xdr:col>10</xdr:col>
      <xdr:colOff>171450</xdr:colOff>
      <xdr:row>93</xdr:row>
      <xdr:rowOff>145564</xdr:rowOff>
    </xdr:to>
    <xdr:pic>
      <xdr:nvPicPr>
        <xdr:cNvPr id="44" name="Picture 13"/>
        <xdr:cNvPicPr>
          <a:picLocks noChangeAspect="1" noChangeArrowheads="1"/>
        </xdr:cNvPicPr>
      </xdr:nvPicPr>
      <xdr:blipFill>
        <a:blip xmlns:r="http://schemas.openxmlformats.org/officeDocument/2006/relationships" r:embed="rId33" cstate="print"/>
        <a:srcRect/>
        <a:stretch>
          <a:fillRect/>
        </a:stretch>
      </xdr:blipFill>
      <xdr:spPr bwMode="auto">
        <a:xfrm>
          <a:off x="5353050" y="17052746"/>
          <a:ext cx="342900" cy="494993"/>
        </a:xfrm>
        <a:prstGeom prst="rect">
          <a:avLst/>
        </a:prstGeom>
        <a:noFill/>
      </xdr:spPr>
    </xdr:pic>
    <xdr:clientData/>
  </xdr:twoCellAnchor>
  <xdr:twoCellAnchor>
    <xdr:from>
      <xdr:col>7</xdr:col>
      <xdr:colOff>57150</xdr:colOff>
      <xdr:row>91</xdr:row>
      <xdr:rowOff>38100</xdr:rowOff>
    </xdr:from>
    <xdr:to>
      <xdr:col>8</xdr:col>
      <xdr:colOff>76200</xdr:colOff>
      <xdr:row>93</xdr:row>
      <xdr:rowOff>129292</xdr:rowOff>
    </xdr:to>
    <xdr:pic>
      <xdr:nvPicPr>
        <xdr:cNvPr id="45" name="Picture 7"/>
        <xdr:cNvPicPr>
          <a:picLocks noChangeAspect="1" noChangeArrowheads="1"/>
        </xdr:cNvPicPr>
      </xdr:nvPicPr>
      <xdr:blipFill>
        <a:blip xmlns:r="http://schemas.openxmlformats.org/officeDocument/2006/relationships" r:embed="rId34" cstate="print"/>
        <a:srcRect/>
        <a:stretch>
          <a:fillRect/>
        </a:stretch>
      </xdr:blipFill>
      <xdr:spPr bwMode="auto">
        <a:xfrm>
          <a:off x="4410075" y="17021175"/>
          <a:ext cx="447675" cy="510292"/>
        </a:xfrm>
        <a:prstGeom prst="rect">
          <a:avLst/>
        </a:prstGeom>
        <a:noFill/>
      </xdr:spPr>
    </xdr:pic>
    <xdr:clientData/>
  </xdr:twoCellAnchor>
  <xdr:twoCellAnchor>
    <xdr:from>
      <xdr:col>8</xdr:col>
      <xdr:colOff>247650</xdr:colOff>
      <xdr:row>133</xdr:row>
      <xdr:rowOff>38100</xdr:rowOff>
    </xdr:from>
    <xdr:to>
      <xdr:col>9</xdr:col>
      <xdr:colOff>257175</xdr:colOff>
      <xdr:row>136</xdr:row>
      <xdr:rowOff>17374</xdr:rowOff>
    </xdr:to>
    <xdr:pic>
      <xdr:nvPicPr>
        <xdr:cNvPr id="46" name="Picture 7"/>
        <xdr:cNvPicPr>
          <a:picLocks noChangeAspect="1" noChangeArrowheads="1"/>
        </xdr:cNvPicPr>
      </xdr:nvPicPr>
      <xdr:blipFill>
        <a:blip xmlns:r="http://schemas.openxmlformats.org/officeDocument/2006/relationships" r:embed="rId35" cstate="print"/>
        <a:srcRect/>
        <a:stretch>
          <a:fillRect/>
        </a:stretch>
      </xdr:blipFill>
      <xdr:spPr bwMode="auto">
        <a:xfrm>
          <a:off x="5029200" y="24203025"/>
          <a:ext cx="381000" cy="541249"/>
        </a:xfrm>
        <a:prstGeom prst="rect">
          <a:avLst/>
        </a:prstGeom>
        <a:noFill/>
      </xdr:spPr>
    </xdr:pic>
    <xdr:clientData/>
  </xdr:twoCellAnchor>
  <xdr:twoCellAnchor>
    <xdr:from>
      <xdr:col>11</xdr:col>
      <xdr:colOff>180975</xdr:colOff>
      <xdr:row>30</xdr:row>
      <xdr:rowOff>95250</xdr:rowOff>
    </xdr:from>
    <xdr:to>
      <xdr:col>12</xdr:col>
      <xdr:colOff>247650</xdr:colOff>
      <xdr:row>33</xdr:row>
      <xdr:rowOff>91654</xdr:rowOff>
    </xdr:to>
    <xdr:pic>
      <xdr:nvPicPr>
        <xdr:cNvPr id="47" name="Picture 11"/>
        <xdr:cNvPicPr preferRelativeResize="0">
          <a:picLocks noChangeArrowheads="1"/>
        </xdr:cNvPicPr>
      </xdr:nvPicPr>
      <xdr:blipFill>
        <a:blip xmlns:r="http://schemas.openxmlformats.org/officeDocument/2006/relationships" r:embed="rId36" cstate="print"/>
        <a:srcRect/>
        <a:stretch>
          <a:fillRect/>
        </a:stretch>
      </xdr:blipFill>
      <xdr:spPr bwMode="auto">
        <a:xfrm>
          <a:off x="6076950" y="6629400"/>
          <a:ext cx="428625" cy="567904"/>
        </a:xfrm>
        <a:prstGeom prst="rect">
          <a:avLst/>
        </a:prstGeom>
        <a:noFill/>
      </xdr:spPr>
    </xdr:pic>
    <xdr:clientData/>
  </xdr:twoCellAnchor>
  <xdr:twoCellAnchor editAs="oneCell">
    <xdr:from>
      <xdr:col>11</xdr:col>
      <xdr:colOff>152401</xdr:colOff>
      <xdr:row>27</xdr:row>
      <xdr:rowOff>95249</xdr:rowOff>
    </xdr:from>
    <xdr:to>
      <xdr:col>12</xdr:col>
      <xdr:colOff>251757</xdr:colOff>
      <xdr:row>29</xdr:row>
      <xdr:rowOff>142874</xdr:rowOff>
    </xdr:to>
    <xdr:pic>
      <xdr:nvPicPr>
        <xdr:cNvPr id="48" name="Image 47" descr="http://muzillactennisdetable.hautetfort.com/media/02/01/4007256586.pn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6048376" y="5981699"/>
          <a:ext cx="461306"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48</xdr:row>
      <xdr:rowOff>66675</xdr:rowOff>
    </xdr:from>
    <xdr:to>
      <xdr:col>8</xdr:col>
      <xdr:colOff>323850</xdr:colOff>
      <xdr:row>51</xdr:row>
      <xdr:rowOff>9525</xdr:rowOff>
    </xdr:to>
    <xdr:pic>
      <xdr:nvPicPr>
        <xdr:cNvPr id="49" name="Image 48" descr="http://muzillactennisdetable.hautetfort.com/media/00/02/4001801994.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514850" y="9677400"/>
          <a:ext cx="5905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57151</xdr:colOff>
      <xdr:row>48</xdr:row>
      <xdr:rowOff>66674</xdr:rowOff>
    </xdr:from>
    <xdr:to>
      <xdr:col>10</xdr:col>
      <xdr:colOff>146982</xdr:colOff>
      <xdr:row>50</xdr:row>
      <xdr:rowOff>190499</xdr:rowOff>
    </xdr:to>
    <xdr:pic>
      <xdr:nvPicPr>
        <xdr:cNvPr id="50" name="Image 49" descr="http://muzillactennisdetable.hautetfort.com/media/02/01/4007256586.pn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210176" y="9677399"/>
          <a:ext cx="461306"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180975</xdr:colOff>
      <xdr:row>48</xdr:row>
      <xdr:rowOff>57150</xdr:rowOff>
    </xdr:from>
    <xdr:to>
      <xdr:col>11</xdr:col>
      <xdr:colOff>257175</xdr:colOff>
      <xdr:row>51</xdr:row>
      <xdr:rowOff>28575</xdr:rowOff>
    </xdr:to>
    <xdr:pic>
      <xdr:nvPicPr>
        <xdr:cNvPr id="51" name="Image 50" descr="http://muzillactennisdetable.hautetfort.com/media/02/00/1851828529.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705475" y="9667875"/>
          <a:ext cx="44767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172576</xdr:colOff>
      <xdr:row>51</xdr:row>
      <xdr:rowOff>38100</xdr:rowOff>
    </xdr:from>
    <xdr:to>
      <xdr:col>8</xdr:col>
      <xdr:colOff>276225</xdr:colOff>
      <xdr:row>54</xdr:row>
      <xdr:rowOff>6185</xdr:rowOff>
    </xdr:to>
    <xdr:pic>
      <xdr:nvPicPr>
        <xdr:cNvPr id="52" name="Picture 8"/>
        <xdr:cNvPicPr>
          <a:picLocks noChangeAspect="1" noChangeArrowheads="1"/>
        </xdr:cNvPicPr>
      </xdr:nvPicPr>
      <xdr:blipFill>
        <a:blip xmlns:r="http://schemas.openxmlformats.org/officeDocument/2006/relationships" r:embed="rId30" cstate="print"/>
        <a:srcRect/>
        <a:stretch>
          <a:fillRect/>
        </a:stretch>
      </xdr:blipFill>
      <xdr:spPr bwMode="auto">
        <a:xfrm>
          <a:off x="4525501" y="10220325"/>
          <a:ext cx="532274" cy="539585"/>
        </a:xfrm>
        <a:prstGeom prst="rect">
          <a:avLst/>
        </a:prstGeom>
        <a:noFill/>
      </xdr:spPr>
    </xdr:pic>
    <xdr:clientData/>
  </xdr:twoCellAnchor>
  <xdr:twoCellAnchor>
    <xdr:from>
      <xdr:col>9</xdr:col>
      <xdr:colOff>57149</xdr:colOff>
      <xdr:row>69</xdr:row>
      <xdr:rowOff>28575</xdr:rowOff>
    </xdr:from>
    <xdr:to>
      <xdr:col>10</xdr:col>
      <xdr:colOff>228137</xdr:colOff>
      <xdr:row>72</xdr:row>
      <xdr:rowOff>152007</xdr:rowOff>
    </xdr:to>
    <xdr:pic>
      <xdr:nvPicPr>
        <xdr:cNvPr id="53" name="Picture 60"/>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5210174" y="13354050"/>
          <a:ext cx="542463" cy="704457"/>
        </a:xfrm>
        <a:prstGeom prst="rect">
          <a:avLst/>
        </a:prstGeom>
        <a:noFill/>
      </xdr:spPr>
    </xdr:pic>
    <xdr:clientData/>
  </xdr:twoCellAnchor>
  <xdr:twoCellAnchor>
    <xdr:from>
      <xdr:col>6</xdr:col>
      <xdr:colOff>114300</xdr:colOff>
      <xdr:row>72</xdr:row>
      <xdr:rowOff>161925</xdr:rowOff>
    </xdr:from>
    <xdr:to>
      <xdr:col>7</xdr:col>
      <xdr:colOff>123825</xdr:colOff>
      <xdr:row>75</xdr:row>
      <xdr:rowOff>125185</xdr:rowOff>
    </xdr:to>
    <xdr:pic>
      <xdr:nvPicPr>
        <xdr:cNvPr id="54" name="Picture 7"/>
        <xdr:cNvPicPr>
          <a:picLocks noChangeAspect="1" noChangeArrowheads="1"/>
        </xdr:cNvPicPr>
      </xdr:nvPicPr>
      <xdr:blipFill>
        <a:blip xmlns:r="http://schemas.openxmlformats.org/officeDocument/2006/relationships" r:embed="rId31" cstate="print"/>
        <a:srcRect/>
        <a:stretch>
          <a:fillRect/>
        </a:stretch>
      </xdr:blipFill>
      <xdr:spPr bwMode="auto">
        <a:xfrm>
          <a:off x="4095750" y="14068425"/>
          <a:ext cx="381000" cy="544285"/>
        </a:xfrm>
        <a:prstGeom prst="rect">
          <a:avLst/>
        </a:prstGeom>
        <a:noFill/>
      </xdr:spPr>
    </xdr:pic>
    <xdr:clientData/>
  </xdr:twoCellAnchor>
  <xdr:twoCellAnchor editAs="oneCell">
    <xdr:from>
      <xdr:col>9</xdr:col>
      <xdr:colOff>95250</xdr:colOff>
      <xdr:row>73</xdr:row>
      <xdr:rowOff>11430</xdr:rowOff>
    </xdr:from>
    <xdr:to>
      <xdr:col>10</xdr:col>
      <xdr:colOff>304800</xdr:colOff>
      <xdr:row>75</xdr:row>
      <xdr:rowOff>95250</xdr:rowOff>
    </xdr:to>
    <xdr:pic>
      <xdr:nvPicPr>
        <xdr:cNvPr id="55" name="Image 54" descr="http://muzillactennisdetable.hautetfort.com/media/02/02/3917015594.pn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248275" y="14117955"/>
          <a:ext cx="581025"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276225</xdr:colOff>
      <xdr:row>91</xdr:row>
      <xdr:rowOff>106680</xdr:rowOff>
    </xdr:from>
    <xdr:to>
      <xdr:col>12</xdr:col>
      <xdr:colOff>123825</xdr:colOff>
      <xdr:row>93</xdr:row>
      <xdr:rowOff>152400</xdr:rowOff>
    </xdr:to>
    <xdr:pic>
      <xdr:nvPicPr>
        <xdr:cNvPr id="56" name="Image 55" descr="http://muzillactennisdetable.hautetfort.com/media/02/02/3917015594.pn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800725" y="17089755"/>
          <a:ext cx="581025"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28574</xdr:colOff>
      <xdr:row>94</xdr:row>
      <xdr:rowOff>46262</xdr:rowOff>
    </xdr:from>
    <xdr:to>
      <xdr:col>7</xdr:col>
      <xdr:colOff>0</xdr:colOff>
      <xdr:row>97</xdr:row>
      <xdr:rowOff>19049</xdr:rowOff>
    </xdr:to>
    <xdr:pic>
      <xdr:nvPicPr>
        <xdr:cNvPr id="57" name="Picture 11"/>
        <xdr:cNvPicPr>
          <a:picLocks noChangeAspect="1" noChangeArrowheads="1"/>
        </xdr:cNvPicPr>
      </xdr:nvPicPr>
      <xdr:blipFill>
        <a:blip xmlns:r="http://schemas.openxmlformats.org/officeDocument/2006/relationships" r:embed="rId25" cstate="print"/>
        <a:srcRect/>
        <a:stretch>
          <a:fillRect/>
        </a:stretch>
      </xdr:blipFill>
      <xdr:spPr bwMode="auto">
        <a:xfrm>
          <a:off x="4010024" y="17638937"/>
          <a:ext cx="342901" cy="477612"/>
        </a:xfrm>
        <a:prstGeom prst="rect">
          <a:avLst/>
        </a:prstGeom>
        <a:noFill/>
      </xdr:spPr>
    </xdr:pic>
    <xdr:clientData/>
  </xdr:twoCellAnchor>
  <xdr:twoCellAnchor editAs="oneCell">
    <xdr:from>
      <xdr:col>7</xdr:col>
      <xdr:colOff>66676</xdr:colOff>
      <xdr:row>94</xdr:row>
      <xdr:rowOff>38099</xdr:rowOff>
    </xdr:from>
    <xdr:to>
      <xdr:col>8</xdr:col>
      <xdr:colOff>99357</xdr:colOff>
      <xdr:row>97</xdr:row>
      <xdr:rowOff>38099</xdr:rowOff>
    </xdr:to>
    <xdr:pic>
      <xdr:nvPicPr>
        <xdr:cNvPr id="58" name="Image 57" descr="http://muzillactennisdetable.hautetfort.com/media/02/01/4007256586.pn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419601" y="17630774"/>
          <a:ext cx="461306"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116</xdr:row>
      <xdr:rowOff>0</xdr:rowOff>
    </xdr:from>
    <xdr:to>
      <xdr:col>10</xdr:col>
      <xdr:colOff>0</xdr:colOff>
      <xdr:row>118</xdr:row>
      <xdr:rowOff>74295</xdr:rowOff>
    </xdr:to>
    <xdr:pic>
      <xdr:nvPicPr>
        <xdr:cNvPr id="59" name="Image 58" descr="http://muzillactennisdetable.hautetfort.com/media/02/02/3917015594.pn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943475" y="21297900"/>
          <a:ext cx="581025"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57151</xdr:colOff>
      <xdr:row>136</xdr:row>
      <xdr:rowOff>95256</xdr:rowOff>
    </xdr:from>
    <xdr:to>
      <xdr:col>7</xdr:col>
      <xdr:colOff>66675</xdr:colOff>
      <xdr:row>139</xdr:row>
      <xdr:rowOff>47625</xdr:rowOff>
    </xdr:to>
    <xdr:pic>
      <xdr:nvPicPr>
        <xdr:cNvPr id="60" name="Picture 25"/>
        <xdr:cNvPicPr preferRelativeResize="0">
          <a:picLocks noChangeArrowheads="1"/>
        </xdr:cNvPicPr>
      </xdr:nvPicPr>
      <xdr:blipFill>
        <a:blip xmlns:r="http://schemas.openxmlformats.org/officeDocument/2006/relationships" r:embed="rId8" cstate="print"/>
        <a:srcRect/>
        <a:stretch>
          <a:fillRect/>
        </a:stretch>
      </xdr:blipFill>
      <xdr:spPr bwMode="auto">
        <a:xfrm>
          <a:off x="4038601" y="24822156"/>
          <a:ext cx="380999" cy="523869"/>
        </a:xfrm>
        <a:prstGeom prst="rect">
          <a:avLst/>
        </a:prstGeom>
        <a:noFill/>
      </xdr:spPr>
    </xdr:pic>
    <xdr:clientData/>
  </xdr:twoCellAnchor>
  <xdr:twoCellAnchor>
    <xdr:from>
      <xdr:col>7</xdr:col>
      <xdr:colOff>123824</xdr:colOff>
      <xdr:row>136</xdr:row>
      <xdr:rowOff>95251</xdr:rowOff>
    </xdr:from>
    <xdr:to>
      <xdr:col>8</xdr:col>
      <xdr:colOff>209549</xdr:colOff>
      <xdr:row>139</xdr:row>
      <xdr:rowOff>57151</xdr:rowOff>
    </xdr:to>
    <xdr:pic>
      <xdr:nvPicPr>
        <xdr:cNvPr id="61" name="Picture 38"/>
        <xdr:cNvPicPr preferRelativeResize="0">
          <a:picLocks noChangeArrowheads="1"/>
        </xdr:cNvPicPr>
      </xdr:nvPicPr>
      <xdr:blipFill>
        <a:blip xmlns:r="http://schemas.openxmlformats.org/officeDocument/2006/relationships" r:embed="rId28" cstate="print"/>
        <a:srcRect/>
        <a:stretch>
          <a:fillRect/>
        </a:stretch>
      </xdr:blipFill>
      <xdr:spPr bwMode="auto">
        <a:xfrm>
          <a:off x="4476749" y="24822151"/>
          <a:ext cx="514350" cy="533400"/>
        </a:xfrm>
        <a:prstGeom prst="rect">
          <a:avLst/>
        </a:prstGeom>
        <a:noFill/>
      </xdr:spPr>
    </xdr:pic>
    <xdr:clientData/>
  </xdr:twoCellAnchor>
  <xdr:twoCellAnchor>
    <xdr:from>
      <xdr:col>8</xdr:col>
      <xdr:colOff>247574</xdr:colOff>
      <xdr:row>136</xdr:row>
      <xdr:rowOff>85725</xdr:rowOff>
    </xdr:from>
    <xdr:to>
      <xdr:col>9</xdr:col>
      <xdr:colOff>276225</xdr:colOff>
      <xdr:row>139</xdr:row>
      <xdr:rowOff>35988</xdr:rowOff>
    </xdr:to>
    <xdr:pic>
      <xdr:nvPicPr>
        <xdr:cNvPr id="62" name="Picture 56"/>
        <xdr:cNvPicPr preferRelativeResize="0">
          <a:picLocks noChangeArrowheads="1"/>
        </xdr:cNvPicPr>
      </xdr:nvPicPr>
      <xdr:blipFill>
        <a:blip xmlns:r="http://schemas.openxmlformats.org/officeDocument/2006/relationships" r:embed="rId32" cstate="print"/>
        <a:srcRect/>
        <a:stretch>
          <a:fillRect/>
        </a:stretch>
      </xdr:blipFill>
      <xdr:spPr bwMode="auto">
        <a:xfrm>
          <a:off x="5029124" y="24812625"/>
          <a:ext cx="400126" cy="521763"/>
        </a:xfrm>
        <a:prstGeom prst="rect">
          <a:avLst/>
        </a:prstGeom>
        <a:noFill/>
      </xdr:spPr>
    </xdr:pic>
    <xdr:clientData/>
  </xdr:twoCellAnchor>
  <xdr:twoCellAnchor editAs="oneCell">
    <xdr:from>
      <xdr:col>6</xdr:col>
      <xdr:colOff>266700</xdr:colOff>
      <xdr:row>157</xdr:row>
      <xdr:rowOff>116204</xdr:rowOff>
    </xdr:from>
    <xdr:to>
      <xdr:col>7</xdr:col>
      <xdr:colOff>409575</xdr:colOff>
      <xdr:row>160</xdr:row>
      <xdr:rowOff>66674</xdr:rowOff>
    </xdr:to>
    <xdr:pic>
      <xdr:nvPicPr>
        <xdr:cNvPr id="64" name="Image 63"/>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248150" y="28462604"/>
          <a:ext cx="514350" cy="531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114300</xdr:colOff>
      <xdr:row>174</xdr:row>
      <xdr:rowOff>47625</xdr:rowOff>
    </xdr:from>
    <xdr:to>
      <xdr:col>10</xdr:col>
      <xdr:colOff>314325</xdr:colOff>
      <xdr:row>177</xdr:row>
      <xdr:rowOff>66675</xdr:rowOff>
    </xdr:to>
    <xdr:pic>
      <xdr:nvPicPr>
        <xdr:cNvPr id="65" name="Image 64"/>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267325" y="31451550"/>
          <a:ext cx="5715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647700</xdr:colOff>
      <xdr:row>187</xdr:row>
      <xdr:rowOff>66675</xdr:rowOff>
    </xdr:from>
    <xdr:to>
      <xdr:col>19</xdr:col>
      <xdr:colOff>222500</xdr:colOff>
      <xdr:row>214</xdr:row>
      <xdr:rowOff>76200</xdr:rowOff>
    </xdr:to>
    <xdr:grpSp>
      <xdr:nvGrpSpPr>
        <xdr:cNvPr id="66" name="Groupe 65"/>
        <xdr:cNvGrpSpPr/>
      </xdr:nvGrpSpPr>
      <xdr:grpSpPr>
        <a:xfrm>
          <a:off x="10239375" y="34709100"/>
          <a:ext cx="1098800" cy="5153025"/>
          <a:chOff x="2838450" y="33909000"/>
          <a:chExt cx="1098800" cy="5153025"/>
        </a:xfrm>
      </xdr:grpSpPr>
      <xdr:pic>
        <xdr:nvPicPr>
          <xdr:cNvPr id="67" name="Picture 23"/>
          <xdr:cNvPicPr preferRelativeResize="0">
            <a:picLocks noChangeArrowheads="1"/>
          </xdr:cNvPicPr>
        </xdr:nvPicPr>
        <xdr:blipFill>
          <a:blip xmlns:r="http://schemas.openxmlformats.org/officeDocument/2006/relationships" r:embed="rId20" cstate="print"/>
          <a:srcRect/>
          <a:stretch>
            <a:fillRect/>
          </a:stretch>
        </xdr:blipFill>
        <xdr:spPr bwMode="auto">
          <a:xfrm>
            <a:off x="2849565" y="35842898"/>
            <a:ext cx="482850" cy="582534"/>
          </a:xfrm>
          <a:prstGeom prst="rect">
            <a:avLst/>
          </a:prstGeom>
          <a:noFill/>
        </xdr:spPr>
      </xdr:pic>
      <xdr:pic>
        <xdr:nvPicPr>
          <xdr:cNvPr id="68" name="Picture 60"/>
          <xdr:cNvPicPr preferRelativeResize="0">
            <a:picLocks noChangeArrowheads="1"/>
          </xdr:cNvPicPr>
        </xdr:nvPicPr>
        <xdr:blipFill>
          <a:blip xmlns:r="http://schemas.openxmlformats.org/officeDocument/2006/relationships" r:embed="rId21" cstate="print"/>
          <a:srcRect/>
          <a:stretch>
            <a:fillRect/>
          </a:stretch>
        </xdr:blipFill>
        <xdr:spPr bwMode="auto">
          <a:xfrm>
            <a:off x="2870199" y="37779647"/>
            <a:ext cx="365377" cy="561653"/>
          </a:xfrm>
          <a:prstGeom prst="rect">
            <a:avLst/>
          </a:prstGeom>
          <a:noFill/>
        </xdr:spPr>
      </xdr:pic>
      <xdr:pic>
        <xdr:nvPicPr>
          <xdr:cNvPr id="69" name="Picture 6"/>
          <xdr:cNvPicPr>
            <a:picLocks noChangeAspect="1" noChangeArrowheads="1"/>
          </xdr:cNvPicPr>
        </xdr:nvPicPr>
        <xdr:blipFill>
          <a:blip xmlns:r="http://schemas.openxmlformats.org/officeDocument/2006/relationships" r:embed="rId13" cstate="print"/>
          <a:srcRect/>
          <a:stretch>
            <a:fillRect/>
          </a:stretch>
        </xdr:blipFill>
        <xdr:spPr bwMode="auto">
          <a:xfrm>
            <a:off x="3503091" y="36271200"/>
            <a:ext cx="370212" cy="504825"/>
          </a:xfrm>
          <a:prstGeom prst="rect">
            <a:avLst/>
          </a:prstGeom>
          <a:noFill/>
        </xdr:spPr>
      </xdr:pic>
      <xdr:pic>
        <xdr:nvPicPr>
          <xdr:cNvPr id="70" name="Picture 7"/>
          <xdr:cNvPicPr>
            <a:picLocks noChangeAspect="1" noChangeArrowheads="1"/>
          </xdr:cNvPicPr>
        </xdr:nvPicPr>
        <xdr:blipFill>
          <a:blip xmlns:r="http://schemas.openxmlformats.org/officeDocument/2006/relationships" r:embed="rId43" cstate="print"/>
          <a:srcRect/>
          <a:stretch>
            <a:fillRect/>
          </a:stretch>
        </xdr:blipFill>
        <xdr:spPr bwMode="auto">
          <a:xfrm>
            <a:off x="2872667" y="38482590"/>
            <a:ext cx="434896" cy="566735"/>
          </a:xfrm>
          <a:prstGeom prst="rect">
            <a:avLst/>
          </a:prstGeom>
          <a:noFill/>
        </xdr:spPr>
      </xdr:pic>
      <xdr:pic>
        <xdr:nvPicPr>
          <xdr:cNvPr id="71" name="Picture 25"/>
          <xdr:cNvPicPr preferRelativeResize="0">
            <a:picLocks noChangeArrowheads="1"/>
          </xdr:cNvPicPr>
        </xdr:nvPicPr>
        <xdr:blipFill>
          <a:blip xmlns:r="http://schemas.openxmlformats.org/officeDocument/2006/relationships" r:embed="rId8" cstate="print"/>
          <a:srcRect/>
          <a:stretch>
            <a:fillRect/>
          </a:stretch>
        </xdr:blipFill>
        <xdr:spPr bwMode="auto">
          <a:xfrm>
            <a:off x="2967036" y="36560125"/>
            <a:ext cx="380999" cy="527044"/>
          </a:xfrm>
          <a:prstGeom prst="rect">
            <a:avLst/>
          </a:prstGeom>
          <a:noFill/>
        </xdr:spPr>
      </xdr:pic>
      <xdr:pic>
        <xdr:nvPicPr>
          <xdr:cNvPr id="72" name="Picture 15"/>
          <xdr:cNvPicPr preferRelativeResize="0">
            <a:picLocks noChangeArrowheads="1"/>
          </xdr:cNvPicPr>
        </xdr:nvPicPr>
        <xdr:blipFill>
          <a:blip xmlns:r="http://schemas.openxmlformats.org/officeDocument/2006/relationships" r:embed="rId7" cstate="print"/>
          <a:srcRect/>
          <a:stretch>
            <a:fillRect/>
          </a:stretch>
        </xdr:blipFill>
        <xdr:spPr bwMode="auto">
          <a:xfrm>
            <a:off x="3552825" y="34940876"/>
            <a:ext cx="352426" cy="514349"/>
          </a:xfrm>
          <a:prstGeom prst="rect">
            <a:avLst/>
          </a:prstGeom>
          <a:noFill/>
        </xdr:spPr>
      </xdr:pic>
      <xdr:pic>
        <xdr:nvPicPr>
          <xdr:cNvPr id="73" name="Picture 48"/>
          <xdr:cNvPicPr preferRelativeResize="0">
            <a:picLocks noChangeArrowheads="1"/>
          </xdr:cNvPicPr>
        </xdr:nvPicPr>
        <xdr:blipFill>
          <a:blip xmlns:r="http://schemas.openxmlformats.org/officeDocument/2006/relationships" r:embed="rId12" cstate="print"/>
          <a:srcRect/>
          <a:stretch>
            <a:fillRect/>
          </a:stretch>
        </xdr:blipFill>
        <xdr:spPr bwMode="auto">
          <a:xfrm>
            <a:off x="2955924" y="37204650"/>
            <a:ext cx="390526" cy="469716"/>
          </a:xfrm>
          <a:prstGeom prst="rect">
            <a:avLst/>
          </a:prstGeom>
          <a:noFill/>
        </xdr:spPr>
      </xdr:pic>
      <xdr:pic>
        <xdr:nvPicPr>
          <xdr:cNvPr id="74" name="Picture 9"/>
          <xdr:cNvPicPr>
            <a:picLocks noChangeAspect="1" noChangeArrowheads="1"/>
          </xdr:cNvPicPr>
        </xdr:nvPicPr>
        <xdr:blipFill>
          <a:blip xmlns:r="http://schemas.openxmlformats.org/officeDocument/2006/relationships" r:embed="rId44" cstate="print"/>
          <a:srcRect/>
          <a:stretch>
            <a:fillRect/>
          </a:stretch>
        </xdr:blipFill>
        <xdr:spPr bwMode="auto">
          <a:xfrm>
            <a:off x="2838450" y="33909000"/>
            <a:ext cx="366300" cy="481550"/>
          </a:xfrm>
          <a:prstGeom prst="rect">
            <a:avLst/>
          </a:prstGeom>
          <a:noFill/>
        </xdr:spPr>
      </xdr:pic>
      <xdr:pic>
        <xdr:nvPicPr>
          <xdr:cNvPr id="75" name="Picture 13"/>
          <xdr:cNvPicPr>
            <a:picLocks noChangeAspect="1" noChangeArrowheads="1"/>
          </xdr:cNvPicPr>
        </xdr:nvPicPr>
        <xdr:blipFill>
          <a:blip xmlns:r="http://schemas.openxmlformats.org/officeDocument/2006/relationships" r:embed="rId33" cstate="print"/>
          <a:srcRect/>
          <a:stretch>
            <a:fillRect/>
          </a:stretch>
        </xdr:blipFill>
        <xdr:spPr bwMode="auto">
          <a:xfrm>
            <a:off x="3463925" y="33951171"/>
            <a:ext cx="361950" cy="522493"/>
          </a:xfrm>
          <a:prstGeom prst="rect">
            <a:avLst/>
          </a:prstGeom>
          <a:noFill/>
        </xdr:spPr>
      </xdr:pic>
      <xdr:pic>
        <xdr:nvPicPr>
          <xdr:cNvPr id="76" name="Image 75"/>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327400" y="37785675"/>
            <a:ext cx="565150" cy="590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Picture 29"/>
          <xdr:cNvPicPr preferRelativeResize="0">
            <a:picLocks noChangeArrowheads="1"/>
          </xdr:cNvPicPr>
        </xdr:nvPicPr>
        <xdr:blipFill>
          <a:blip xmlns:r="http://schemas.openxmlformats.org/officeDocument/2006/relationships" r:embed="rId23" cstate="print"/>
          <a:srcRect/>
          <a:stretch>
            <a:fillRect/>
          </a:stretch>
        </xdr:blipFill>
        <xdr:spPr bwMode="auto">
          <a:xfrm>
            <a:off x="2873375" y="35134583"/>
            <a:ext cx="476500" cy="561942"/>
          </a:xfrm>
          <a:prstGeom prst="rect">
            <a:avLst/>
          </a:prstGeom>
          <a:noFill/>
        </xdr:spPr>
      </xdr:pic>
      <xdr:pic>
        <xdr:nvPicPr>
          <xdr:cNvPr id="78" name="Picture 27"/>
          <xdr:cNvPicPr preferRelativeResize="0">
            <a:picLocks noChangeArrowheads="1"/>
          </xdr:cNvPicPr>
        </xdr:nvPicPr>
        <xdr:blipFill>
          <a:blip xmlns:r="http://schemas.openxmlformats.org/officeDocument/2006/relationships" r:embed="rId9" cstate="print"/>
          <a:srcRect/>
          <a:stretch>
            <a:fillRect/>
          </a:stretch>
        </xdr:blipFill>
        <xdr:spPr bwMode="auto">
          <a:xfrm>
            <a:off x="3457575" y="36934985"/>
            <a:ext cx="479675" cy="533190"/>
          </a:xfrm>
          <a:prstGeom prst="rect">
            <a:avLst/>
          </a:prstGeom>
          <a:noFill/>
        </xdr:spPr>
      </xdr:pic>
      <xdr:pic>
        <xdr:nvPicPr>
          <xdr:cNvPr id="79" name="Picture 38"/>
          <xdr:cNvPicPr preferRelativeResize="0">
            <a:picLocks noChangeArrowheads="1"/>
          </xdr:cNvPicPr>
        </xdr:nvPicPr>
        <xdr:blipFill>
          <a:blip xmlns:r="http://schemas.openxmlformats.org/officeDocument/2006/relationships" r:embed="rId28" cstate="print"/>
          <a:srcRect/>
          <a:stretch>
            <a:fillRect/>
          </a:stretch>
        </xdr:blipFill>
        <xdr:spPr bwMode="auto">
          <a:xfrm>
            <a:off x="3463924" y="35588576"/>
            <a:ext cx="450850" cy="533400"/>
          </a:xfrm>
          <a:prstGeom prst="rect">
            <a:avLst/>
          </a:prstGeom>
          <a:noFill/>
        </xdr:spPr>
      </xdr:pic>
      <xdr:pic>
        <xdr:nvPicPr>
          <xdr:cNvPr id="80" name="Picture 13"/>
          <xdr:cNvPicPr>
            <a:picLocks noChangeAspect="1" noChangeArrowheads="1"/>
          </xdr:cNvPicPr>
        </xdr:nvPicPr>
        <xdr:blipFill>
          <a:blip xmlns:r="http://schemas.openxmlformats.org/officeDocument/2006/relationships" r:embed="rId22" cstate="print"/>
          <a:srcRect/>
          <a:stretch>
            <a:fillRect/>
          </a:stretch>
        </xdr:blipFill>
        <xdr:spPr bwMode="auto">
          <a:xfrm>
            <a:off x="3018444" y="34467799"/>
            <a:ext cx="345380" cy="464215"/>
          </a:xfrm>
          <a:prstGeom prst="rect">
            <a:avLst/>
          </a:prstGeom>
          <a:noFill/>
        </xdr:spPr>
      </xdr:pic>
      <xdr:pic>
        <xdr:nvPicPr>
          <xdr:cNvPr id="81" name="Picture 56"/>
          <xdr:cNvPicPr preferRelativeResize="0">
            <a:picLocks noChangeArrowheads="1"/>
          </xdr:cNvPicPr>
        </xdr:nvPicPr>
        <xdr:blipFill>
          <a:blip xmlns:r="http://schemas.openxmlformats.org/officeDocument/2006/relationships" r:embed="rId32" cstate="print"/>
          <a:srcRect/>
          <a:stretch>
            <a:fillRect/>
          </a:stretch>
        </xdr:blipFill>
        <xdr:spPr bwMode="auto">
          <a:xfrm>
            <a:off x="3473450" y="34550351"/>
            <a:ext cx="327025" cy="361950"/>
          </a:xfrm>
          <a:prstGeom prst="rect">
            <a:avLst/>
          </a:prstGeom>
          <a:noFill/>
        </xdr:spPr>
      </xdr:pic>
      <xdr:pic>
        <xdr:nvPicPr>
          <xdr:cNvPr id="82" name="Picture 7"/>
          <xdr:cNvPicPr>
            <a:picLocks noChangeAspect="1" noChangeArrowheads="1"/>
          </xdr:cNvPicPr>
        </xdr:nvPicPr>
        <xdr:blipFill>
          <a:blip xmlns:r="http://schemas.openxmlformats.org/officeDocument/2006/relationships" r:embed="rId45" cstate="print"/>
          <a:srcRect/>
          <a:stretch>
            <a:fillRect/>
          </a:stretch>
        </xdr:blipFill>
        <xdr:spPr bwMode="auto">
          <a:xfrm>
            <a:off x="3425825" y="38595300"/>
            <a:ext cx="389099" cy="466725"/>
          </a:xfrm>
          <a:prstGeom prst="rect">
            <a:avLst/>
          </a:prstGeom>
          <a:noFill/>
        </xdr:spPr>
      </xdr:pic>
    </xdr:grpSp>
    <xdr:clientData/>
  </xdr:twoCellAnchor>
  <xdr:twoCellAnchor>
    <xdr:from>
      <xdr:col>5</xdr:col>
      <xdr:colOff>47625</xdr:colOff>
      <xdr:row>193</xdr:row>
      <xdr:rowOff>1</xdr:rowOff>
    </xdr:from>
    <xdr:to>
      <xdr:col>5</xdr:col>
      <xdr:colOff>1152525</xdr:colOff>
      <xdr:row>218</xdr:row>
      <xdr:rowOff>28155</xdr:rowOff>
    </xdr:to>
    <xdr:grpSp>
      <xdr:nvGrpSpPr>
        <xdr:cNvPr id="83" name="Groupe 82"/>
        <xdr:cNvGrpSpPr/>
      </xdr:nvGrpSpPr>
      <xdr:grpSpPr>
        <a:xfrm>
          <a:off x="2838450" y="35785426"/>
          <a:ext cx="1104900" cy="4790654"/>
          <a:chOff x="8495153" y="7751706"/>
          <a:chExt cx="823282" cy="4114379"/>
        </a:xfrm>
      </xdr:grpSpPr>
      <xdr:pic>
        <xdr:nvPicPr>
          <xdr:cNvPr id="84" name="Picture 72"/>
          <xdr:cNvPicPr>
            <a:picLocks noChangeAspect="1" noChangeArrowheads="1"/>
          </xdr:cNvPicPr>
        </xdr:nvPicPr>
        <xdr:blipFill>
          <a:blip xmlns:r="http://schemas.openxmlformats.org/officeDocument/2006/relationships" r:embed="rId46" cstate="print"/>
          <a:srcRect/>
          <a:stretch>
            <a:fillRect/>
          </a:stretch>
        </xdr:blipFill>
        <xdr:spPr bwMode="auto">
          <a:xfrm>
            <a:off x="9033245" y="11527666"/>
            <a:ext cx="285190" cy="315468"/>
          </a:xfrm>
          <a:prstGeom prst="rect">
            <a:avLst/>
          </a:prstGeom>
          <a:noFill/>
        </xdr:spPr>
      </xdr:pic>
      <xdr:pic>
        <xdr:nvPicPr>
          <xdr:cNvPr id="85" name="Picture 13"/>
          <xdr:cNvPicPr>
            <a:picLocks noChangeAspect="1" noChangeArrowheads="1"/>
          </xdr:cNvPicPr>
        </xdr:nvPicPr>
        <xdr:blipFill>
          <a:blip xmlns:r="http://schemas.openxmlformats.org/officeDocument/2006/relationships" r:embed="rId33" cstate="print"/>
          <a:srcRect/>
          <a:stretch>
            <a:fillRect/>
          </a:stretch>
        </xdr:blipFill>
        <xdr:spPr bwMode="auto">
          <a:xfrm>
            <a:off x="8496415" y="10834745"/>
            <a:ext cx="259700" cy="373627"/>
          </a:xfrm>
          <a:prstGeom prst="rect">
            <a:avLst/>
          </a:prstGeom>
          <a:noFill/>
        </xdr:spPr>
      </xdr:pic>
      <xdr:pic>
        <xdr:nvPicPr>
          <xdr:cNvPr id="86" name="Picture 40"/>
          <xdr:cNvPicPr preferRelativeResize="0">
            <a:picLocks noChangeArrowheads="1"/>
          </xdr:cNvPicPr>
        </xdr:nvPicPr>
        <xdr:blipFill>
          <a:blip xmlns:r="http://schemas.openxmlformats.org/officeDocument/2006/relationships" r:embed="rId10" cstate="print"/>
          <a:srcRect/>
          <a:stretch>
            <a:fillRect/>
          </a:stretch>
        </xdr:blipFill>
        <xdr:spPr bwMode="auto">
          <a:xfrm>
            <a:off x="8508797" y="10515202"/>
            <a:ext cx="262581" cy="303782"/>
          </a:xfrm>
          <a:prstGeom prst="rect">
            <a:avLst/>
          </a:prstGeom>
          <a:noFill/>
        </xdr:spPr>
      </xdr:pic>
      <xdr:pic>
        <xdr:nvPicPr>
          <xdr:cNvPr id="87" name="Picture 54"/>
          <xdr:cNvPicPr preferRelativeResize="0">
            <a:picLocks noChangeArrowheads="1"/>
          </xdr:cNvPicPr>
        </xdr:nvPicPr>
        <xdr:blipFill>
          <a:blip xmlns:r="http://schemas.openxmlformats.org/officeDocument/2006/relationships" r:embed="rId47" cstate="print"/>
          <a:srcRect/>
          <a:stretch>
            <a:fillRect/>
          </a:stretch>
        </xdr:blipFill>
        <xdr:spPr bwMode="auto">
          <a:xfrm>
            <a:off x="9038803" y="10519345"/>
            <a:ext cx="250942" cy="303781"/>
          </a:xfrm>
          <a:prstGeom prst="rect">
            <a:avLst/>
          </a:prstGeom>
          <a:noFill/>
        </xdr:spPr>
      </xdr:pic>
      <xdr:pic>
        <xdr:nvPicPr>
          <xdr:cNvPr id="88" name="Picture 8"/>
          <xdr:cNvPicPr>
            <a:picLocks noChangeAspect="1" noChangeArrowheads="1"/>
          </xdr:cNvPicPr>
        </xdr:nvPicPr>
        <xdr:blipFill>
          <a:blip xmlns:r="http://schemas.openxmlformats.org/officeDocument/2006/relationships" r:embed="rId30" cstate="print"/>
          <a:srcRect/>
          <a:stretch>
            <a:fillRect/>
          </a:stretch>
        </xdr:blipFill>
        <xdr:spPr bwMode="auto">
          <a:xfrm>
            <a:off x="8512345" y="9912355"/>
            <a:ext cx="257316" cy="304089"/>
          </a:xfrm>
          <a:prstGeom prst="rect">
            <a:avLst/>
          </a:prstGeom>
          <a:noFill/>
        </xdr:spPr>
      </xdr:pic>
      <xdr:pic>
        <xdr:nvPicPr>
          <xdr:cNvPr id="89" name="Picture 13"/>
          <xdr:cNvPicPr>
            <a:picLocks noChangeAspect="1" noChangeArrowheads="1"/>
          </xdr:cNvPicPr>
        </xdr:nvPicPr>
        <xdr:blipFill>
          <a:blip xmlns:r="http://schemas.openxmlformats.org/officeDocument/2006/relationships" r:embed="rId22" cstate="print"/>
          <a:srcRect/>
          <a:stretch>
            <a:fillRect/>
          </a:stretch>
        </xdr:blipFill>
        <xdr:spPr bwMode="auto">
          <a:xfrm>
            <a:off x="8796859" y="9295428"/>
            <a:ext cx="261640" cy="297111"/>
          </a:xfrm>
          <a:prstGeom prst="rect">
            <a:avLst/>
          </a:prstGeom>
          <a:noFill/>
        </xdr:spPr>
      </xdr:pic>
      <xdr:pic>
        <xdr:nvPicPr>
          <xdr:cNvPr id="90" name="Picture 15"/>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8513440" y="9303094"/>
            <a:ext cx="267747" cy="298258"/>
          </a:xfrm>
          <a:prstGeom prst="rect">
            <a:avLst/>
          </a:prstGeom>
          <a:noFill/>
        </xdr:spPr>
      </xdr:pic>
      <xdr:pic>
        <xdr:nvPicPr>
          <xdr:cNvPr id="91" name="Picture 60"/>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8519691" y="9003187"/>
            <a:ext cx="267174" cy="300210"/>
          </a:xfrm>
          <a:prstGeom prst="rect">
            <a:avLst/>
          </a:prstGeom>
          <a:noFill/>
        </xdr:spPr>
      </xdr:pic>
      <xdr:pic>
        <xdr:nvPicPr>
          <xdr:cNvPr id="92" name="Picture 7"/>
          <xdr:cNvPicPr>
            <a:picLocks noChangeAspect="1" noChangeArrowheads="1"/>
          </xdr:cNvPicPr>
        </xdr:nvPicPr>
        <xdr:blipFill>
          <a:blip xmlns:r="http://schemas.openxmlformats.org/officeDocument/2006/relationships" r:embed="rId17" cstate="print"/>
          <a:srcRect/>
          <a:stretch>
            <a:fillRect/>
          </a:stretch>
        </xdr:blipFill>
        <xdr:spPr bwMode="auto">
          <a:xfrm>
            <a:off x="8791121" y="9004243"/>
            <a:ext cx="260919" cy="297442"/>
          </a:xfrm>
          <a:prstGeom prst="rect">
            <a:avLst/>
          </a:prstGeom>
          <a:noFill/>
        </xdr:spPr>
      </xdr:pic>
      <xdr:pic>
        <xdr:nvPicPr>
          <xdr:cNvPr id="93" name="Picture 25"/>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9071678" y="9004456"/>
            <a:ext cx="204726" cy="297878"/>
          </a:xfrm>
          <a:prstGeom prst="rect">
            <a:avLst/>
          </a:prstGeom>
          <a:noFill/>
        </xdr:spPr>
      </xdr:pic>
      <xdr:pic>
        <xdr:nvPicPr>
          <xdr:cNvPr id="94" name="Picture 7"/>
          <xdr:cNvPicPr>
            <a:picLocks noChangeAspect="1" noChangeArrowheads="1"/>
          </xdr:cNvPicPr>
        </xdr:nvPicPr>
        <xdr:blipFill>
          <a:blip xmlns:r="http://schemas.openxmlformats.org/officeDocument/2006/relationships" r:embed="rId48" cstate="print"/>
          <a:srcRect/>
          <a:stretch>
            <a:fillRect/>
          </a:stretch>
        </xdr:blipFill>
        <xdr:spPr bwMode="auto">
          <a:xfrm>
            <a:off x="8794363" y="8693605"/>
            <a:ext cx="260125" cy="297878"/>
          </a:xfrm>
          <a:prstGeom prst="rect">
            <a:avLst/>
          </a:prstGeom>
          <a:noFill/>
        </xdr:spPr>
      </xdr:pic>
      <xdr:pic>
        <xdr:nvPicPr>
          <xdr:cNvPr id="95" name="Picture 31"/>
          <xdr:cNvPicPr preferRelativeResize="0">
            <a:picLocks noChangeArrowheads="1"/>
          </xdr:cNvPicPr>
        </xdr:nvPicPr>
        <xdr:blipFill>
          <a:blip xmlns:r="http://schemas.openxmlformats.org/officeDocument/2006/relationships" r:embed="rId16" cstate="print"/>
          <a:srcRect/>
          <a:stretch>
            <a:fillRect/>
          </a:stretch>
        </xdr:blipFill>
        <xdr:spPr bwMode="auto">
          <a:xfrm>
            <a:off x="9067648" y="9302597"/>
            <a:ext cx="216358" cy="298537"/>
          </a:xfrm>
          <a:prstGeom prst="rect">
            <a:avLst/>
          </a:prstGeom>
          <a:noFill/>
        </xdr:spPr>
      </xdr:pic>
      <xdr:pic>
        <xdr:nvPicPr>
          <xdr:cNvPr id="96" name="Picture 11"/>
          <xdr:cNvPicPr preferRelativeResize="0">
            <a:picLocks noChangeAspect="1" noChangeArrowheads="1"/>
          </xdr:cNvPicPr>
        </xdr:nvPicPr>
        <xdr:blipFill>
          <a:blip xmlns:r="http://schemas.openxmlformats.org/officeDocument/2006/relationships" r:embed="rId36" cstate="print"/>
          <a:stretch>
            <a:fillRect/>
          </a:stretch>
        </xdr:blipFill>
        <xdr:spPr bwMode="auto">
          <a:xfrm>
            <a:off x="8531718" y="8694870"/>
            <a:ext cx="253085" cy="297878"/>
          </a:xfrm>
          <a:prstGeom prst="rect">
            <a:avLst/>
          </a:prstGeom>
          <a:noFill/>
        </xdr:spPr>
      </xdr:pic>
      <xdr:pic>
        <xdr:nvPicPr>
          <xdr:cNvPr id="97"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8531719" y="8383756"/>
            <a:ext cx="253085" cy="297878"/>
          </a:xfrm>
          <a:prstGeom prst="rect">
            <a:avLst/>
          </a:prstGeom>
          <a:noFill/>
        </xdr:spPr>
      </xdr:pic>
      <xdr:pic>
        <xdr:nvPicPr>
          <xdr:cNvPr id="98" name="Picture 23"/>
          <xdr:cNvPicPr preferRelativeResize="0">
            <a:picLocks noChangeArrowheads="1"/>
          </xdr:cNvPicPr>
        </xdr:nvPicPr>
        <xdr:blipFill>
          <a:blip xmlns:r="http://schemas.openxmlformats.org/officeDocument/2006/relationships" r:embed="rId20" cstate="print"/>
          <a:srcRect/>
          <a:stretch>
            <a:fillRect/>
          </a:stretch>
        </xdr:blipFill>
        <xdr:spPr bwMode="auto">
          <a:xfrm>
            <a:off x="8798254" y="8403059"/>
            <a:ext cx="261971" cy="297878"/>
          </a:xfrm>
          <a:prstGeom prst="rect">
            <a:avLst/>
          </a:prstGeom>
          <a:noFill/>
        </xdr:spPr>
      </xdr:pic>
      <xdr:pic>
        <xdr:nvPicPr>
          <xdr:cNvPr id="99" name="Picture 33"/>
          <xdr:cNvPicPr preferRelativeResize="0">
            <a:picLocks noChangeArrowheads="1"/>
          </xdr:cNvPicPr>
        </xdr:nvPicPr>
        <xdr:blipFill>
          <a:blip xmlns:r="http://schemas.openxmlformats.org/officeDocument/2006/relationships" r:embed="rId49" cstate="print"/>
          <a:srcRect/>
          <a:stretch>
            <a:fillRect/>
          </a:stretch>
        </xdr:blipFill>
        <xdr:spPr bwMode="auto">
          <a:xfrm>
            <a:off x="8508105" y="9591217"/>
            <a:ext cx="265223" cy="304515"/>
          </a:xfrm>
          <a:prstGeom prst="rect">
            <a:avLst/>
          </a:prstGeom>
          <a:noFill/>
        </xdr:spPr>
      </xdr:pic>
      <xdr:pic>
        <xdr:nvPicPr>
          <xdr:cNvPr id="100" name="Picture 9"/>
          <xdr:cNvPicPr>
            <a:picLocks noChangeAspect="1" noChangeArrowheads="1"/>
          </xdr:cNvPicPr>
        </xdr:nvPicPr>
        <xdr:blipFill>
          <a:blip xmlns:r="http://schemas.openxmlformats.org/officeDocument/2006/relationships" r:embed="rId50" cstate="print"/>
          <a:srcRect/>
          <a:stretch>
            <a:fillRect/>
          </a:stretch>
        </xdr:blipFill>
        <xdr:spPr bwMode="auto">
          <a:xfrm>
            <a:off x="8771820" y="9613659"/>
            <a:ext cx="265454" cy="287966"/>
          </a:xfrm>
          <a:prstGeom prst="rect">
            <a:avLst/>
          </a:prstGeom>
          <a:noFill/>
        </xdr:spPr>
      </xdr:pic>
      <xdr:pic>
        <xdr:nvPicPr>
          <xdr:cNvPr id="101" name="Picture 5"/>
          <xdr:cNvPicPr>
            <a:picLocks noChangeAspect="1" noChangeArrowheads="1"/>
          </xdr:cNvPicPr>
        </xdr:nvPicPr>
        <xdr:blipFill>
          <a:blip xmlns:r="http://schemas.openxmlformats.org/officeDocument/2006/relationships" r:embed="rId51" cstate="print"/>
          <a:srcRect/>
          <a:stretch>
            <a:fillRect/>
          </a:stretch>
        </xdr:blipFill>
        <xdr:spPr bwMode="auto">
          <a:xfrm>
            <a:off x="8784778" y="9915298"/>
            <a:ext cx="281185" cy="298537"/>
          </a:xfrm>
          <a:prstGeom prst="rect">
            <a:avLst/>
          </a:prstGeom>
          <a:noFill/>
        </xdr:spPr>
      </xdr:pic>
      <xdr:pic>
        <xdr:nvPicPr>
          <xdr:cNvPr id="102" name="Picture 62"/>
          <xdr:cNvPicPr preferRelativeResize="0">
            <a:picLocks noChangeArrowheads="1"/>
          </xdr:cNvPicPr>
        </xdr:nvPicPr>
        <xdr:blipFill>
          <a:blip xmlns:r="http://schemas.openxmlformats.org/officeDocument/2006/relationships" r:embed="rId3" cstate="print"/>
          <a:srcRect/>
          <a:stretch>
            <a:fillRect/>
          </a:stretch>
        </xdr:blipFill>
        <xdr:spPr bwMode="auto">
          <a:xfrm>
            <a:off x="8512878" y="10219610"/>
            <a:ext cx="248974" cy="292600"/>
          </a:xfrm>
          <a:prstGeom prst="rect">
            <a:avLst/>
          </a:prstGeom>
          <a:noFill/>
        </xdr:spPr>
      </xdr:pic>
      <xdr:pic>
        <xdr:nvPicPr>
          <xdr:cNvPr id="103" name="Picture 62"/>
          <xdr:cNvPicPr preferRelativeResize="0">
            <a:picLocks noChangeArrowheads="1"/>
          </xdr:cNvPicPr>
        </xdr:nvPicPr>
        <xdr:blipFill>
          <a:blip xmlns:r="http://schemas.openxmlformats.org/officeDocument/2006/relationships" r:embed="rId52" cstate="print"/>
          <a:srcRect/>
          <a:stretch>
            <a:fillRect/>
          </a:stretch>
        </xdr:blipFill>
        <xdr:spPr bwMode="auto">
          <a:xfrm>
            <a:off x="9053858" y="8697757"/>
            <a:ext cx="218672" cy="293613"/>
          </a:xfrm>
          <a:prstGeom prst="rect">
            <a:avLst/>
          </a:prstGeom>
          <a:noFill/>
        </xdr:spPr>
      </xdr:pic>
      <xdr:pic>
        <xdr:nvPicPr>
          <xdr:cNvPr id="104" name="Picture 9"/>
          <xdr:cNvPicPr>
            <a:picLocks noChangeAspect="1" noChangeArrowheads="1"/>
          </xdr:cNvPicPr>
        </xdr:nvPicPr>
        <xdr:blipFill>
          <a:blip xmlns:r="http://schemas.openxmlformats.org/officeDocument/2006/relationships" r:embed="rId44" cstate="print"/>
          <a:srcRect/>
          <a:stretch>
            <a:fillRect/>
          </a:stretch>
        </xdr:blipFill>
        <xdr:spPr bwMode="auto">
          <a:xfrm>
            <a:off x="9055062" y="10221014"/>
            <a:ext cx="246158" cy="325341"/>
          </a:xfrm>
          <a:prstGeom prst="rect">
            <a:avLst/>
          </a:prstGeom>
          <a:noFill/>
        </xdr:spPr>
      </xdr:pic>
      <xdr:pic>
        <xdr:nvPicPr>
          <xdr:cNvPr id="105" name="Picture 15"/>
          <xdr:cNvPicPr preferRelativeResize="0">
            <a:picLocks noChangeArrowheads="1"/>
          </xdr:cNvPicPr>
        </xdr:nvPicPr>
        <xdr:blipFill>
          <a:blip xmlns:r="http://schemas.openxmlformats.org/officeDocument/2006/relationships" r:embed="rId7" cstate="print"/>
          <a:srcRect/>
          <a:stretch>
            <a:fillRect/>
          </a:stretch>
        </xdr:blipFill>
        <xdr:spPr bwMode="auto">
          <a:xfrm>
            <a:off x="8765237" y="10224921"/>
            <a:ext cx="283513" cy="304221"/>
          </a:xfrm>
          <a:prstGeom prst="rect">
            <a:avLst/>
          </a:prstGeom>
          <a:noFill/>
        </xdr:spPr>
      </xdr:pic>
      <xdr:pic>
        <xdr:nvPicPr>
          <xdr:cNvPr id="106" name="Picture 7"/>
          <xdr:cNvPicPr>
            <a:picLocks noChangeAspect="1" noChangeArrowheads="1"/>
          </xdr:cNvPicPr>
        </xdr:nvPicPr>
        <xdr:blipFill>
          <a:blip xmlns:r="http://schemas.openxmlformats.org/officeDocument/2006/relationships" r:embed="rId31" cstate="print"/>
          <a:srcRect/>
          <a:stretch>
            <a:fillRect/>
          </a:stretch>
        </xdr:blipFill>
        <xdr:spPr bwMode="auto">
          <a:xfrm>
            <a:off x="9068833" y="8394623"/>
            <a:ext cx="207246" cy="297210"/>
          </a:xfrm>
          <a:prstGeom prst="rect">
            <a:avLst/>
          </a:prstGeom>
          <a:noFill/>
        </xdr:spPr>
      </xdr:pic>
      <xdr:pic>
        <xdr:nvPicPr>
          <xdr:cNvPr id="107" name="Picture 4"/>
          <xdr:cNvPicPr preferRelativeResize="0">
            <a:picLocks noChangeArrowheads="1"/>
          </xdr:cNvPicPr>
        </xdr:nvPicPr>
        <xdr:blipFill>
          <a:blip xmlns:r="http://schemas.openxmlformats.org/officeDocument/2006/relationships" r:embed="rId4" cstate="print"/>
          <a:srcRect/>
          <a:stretch>
            <a:fillRect/>
          </a:stretch>
        </xdr:blipFill>
        <xdr:spPr bwMode="auto">
          <a:xfrm>
            <a:off x="8534399" y="7757711"/>
            <a:ext cx="256143" cy="317424"/>
          </a:xfrm>
          <a:prstGeom prst="rect">
            <a:avLst/>
          </a:prstGeom>
          <a:noFill/>
        </xdr:spPr>
      </xdr:pic>
      <xdr:pic>
        <xdr:nvPicPr>
          <xdr:cNvPr id="108" name="Picture 29"/>
          <xdr:cNvPicPr preferRelativeResize="0">
            <a:picLocks noChangeArrowheads="1"/>
          </xdr:cNvPicPr>
        </xdr:nvPicPr>
        <xdr:blipFill>
          <a:blip xmlns:r="http://schemas.openxmlformats.org/officeDocument/2006/relationships" r:embed="rId23" cstate="print"/>
          <a:srcRect/>
          <a:stretch>
            <a:fillRect/>
          </a:stretch>
        </xdr:blipFill>
        <xdr:spPr bwMode="auto">
          <a:xfrm>
            <a:off x="8789021" y="8073298"/>
            <a:ext cx="276944" cy="322639"/>
          </a:xfrm>
          <a:prstGeom prst="rect">
            <a:avLst/>
          </a:prstGeom>
          <a:noFill/>
        </xdr:spPr>
      </xdr:pic>
      <xdr:pic>
        <xdr:nvPicPr>
          <xdr:cNvPr id="109" name="Picture 60"/>
          <xdr:cNvPicPr preferRelativeResize="0">
            <a:picLocks noChangeArrowheads="1"/>
          </xdr:cNvPicPr>
        </xdr:nvPicPr>
        <xdr:blipFill>
          <a:blip xmlns:r="http://schemas.openxmlformats.org/officeDocument/2006/relationships" r:embed="rId21" cstate="print"/>
          <a:srcRect/>
          <a:stretch>
            <a:fillRect/>
          </a:stretch>
        </xdr:blipFill>
        <xdr:spPr bwMode="auto">
          <a:xfrm>
            <a:off x="8535023" y="8079036"/>
            <a:ext cx="249782" cy="301291"/>
          </a:xfrm>
          <a:prstGeom prst="rect">
            <a:avLst/>
          </a:prstGeom>
          <a:noFill/>
        </xdr:spPr>
      </xdr:pic>
      <xdr:pic>
        <xdr:nvPicPr>
          <xdr:cNvPr id="110" name="Picture 48"/>
          <xdr:cNvPicPr preferRelativeResize="0">
            <a:picLocks noChangeArrowheads="1"/>
          </xdr:cNvPicPr>
        </xdr:nvPicPr>
        <xdr:blipFill>
          <a:blip xmlns:r="http://schemas.openxmlformats.org/officeDocument/2006/relationships" r:embed="rId12" cstate="print"/>
          <a:srcRect/>
          <a:stretch>
            <a:fillRect/>
          </a:stretch>
        </xdr:blipFill>
        <xdr:spPr bwMode="auto">
          <a:xfrm>
            <a:off x="9067092" y="8067560"/>
            <a:ext cx="228390" cy="333340"/>
          </a:xfrm>
          <a:prstGeom prst="rect">
            <a:avLst/>
          </a:prstGeom>
          <a:noFill/>
        </xdr:spPr>
      </xdr:pic>
      <xdr:pic>
        <xdr:nvPicPr>
          <xdr:cNvPr id="111" name="Picture 38"/>
          <xdr:cNvPicPr preferRelativeResize="0">
            <a:picLocks noChangeArrowheads="1"/>
          </xdr:cNvPicPr>
        </xdr:nvPicPr>
        <xdr:blipFill>
          <a:blip xmlns:r="http://schemas.openxmlformats.org/officeDocument/2006/relationships" r:embed="rId28" cstate="print"/>
          <a:srcRect/>
          <a:stretch>
            <a:fillRect/>
          </a:stretch>
        </xdr:blipFill>
        <xdr:spPr bwMode="auto">
          <a:xfrm>
            <a:off x="8759270" y="10510296"/>
            <a:ext cx="278004" cy="311482"/>
          </a:xfrm>
          <a:prstGeom prst="rect">
            <a:avLst/>
          </a:prstGeom>
          <a:noFill/>
        </xdr:spPr>
      </xdr:pic>
      <xdr:pic>
        <xdr:nvPicPr>
          <xdr:cNvPr id="112" name="Picture 56"/>
          <xdr:cNvPicPr preferRelativeResize="0">
            <a:picLocks noChangeArrowheads="1"/>
          </xdr:cNvPicPr>
        </xdr:nvPicPr>
        <xdr:blipFill>
          <a:blip xmlns:r="http://schemas.openxmlformats.org/officeDocument/2006/relationships" r:embed="rId32" cstate="print"/>
          <a:srcRect/>
          <a:stretch>
            <a:fillRect/>
          </a:stretch>
        </xdr:blipFill>
        <xdr:spPr bwMode="auto">
          <a:xfrm>
            <a:off x="9059920" y="9901467"/>
            <a:ext cx="235561" cy="312087"/>
          </a:xfrm>
          <a:prstGeom prst="rect">
            <a:avLst/>
          </a:prstGeom>
          <a:noFill/>
        </xdr:spPr>
      </xdr:pic>
      <xdr:pic>
        <xdr:nvPicPr>
          <xdr:cNvPr id="113" name="Picture 6"/>
          <xdr:cNvPicPr>
            <a:picLocks noChangeAspect="1" noChangeArrowheads="1"/>
          </xdr:cNvPicPr>
        </xdr:nvPicPr>
        <xdr:blipFill>
          <a:blip xmlns:r="http://schemas.openxmlformats.org/officeDocument/2006/relationships" r:embed="rId13" cstate="print"/>
          <a:srcRect/>
          <a:stretch>
            <a:fillRect/>
          </a:stretch>
        </xdr:blipFill>
        <xdr:spPr bwMode="auto">
          <a:xfrm>
            <a:off x="8791312" y="7751886"/>
            <a:ext cx="268914" cy="322086"/>
          </a:xfrm>
          <a:prstGeom prst="rect">
            <a:avLst/>
          </a:prstGeom>
          <a:noFill/>
        </xdr:spPr>
      </xdr:pic>
      <xdr:pic>
        <xdr:nvPicPr>
          <xdr:cNvPr id="114" name="Picture 7"/>
          <xdr:cNvPicPr>
            <a:picLocks noChangeAspect="1" noChangeArrowheads="1"/>
          </xdr:cNvPicPr>
        </xdr:nvPicPr>
        <xdr:blipFill>
          <a:blip xmlns:r="http://schemas.openxmlformats.org/officeDocument/2006/relationships" r:embed="rId34" cstate="print"/>
          <a:srcRect/>
          <a:stretch>
            <a:fillRect/>
          </a:stretch>
        </xdr:blipFill>
        <xdr:spPr bwMode="auto">
          <a:xfrm>
            <a:off x="8497678" y="11204156"/>
            <a:ext cx="252699" cy="339410"/>
          </a:xfrm>
          <a:prstGeom prst="rect">
            <a:avLst/>
          </a:prstGeom>
          <a:noFill/>
        </xdr:spPr>
      </xdr:pic>
      <xdr:pic>
        <xdr:nvPicPr>
          <xdr:cNvPr id="115" name="Image 114" descr="Clément"/>
          <xdr:cNvPicPr preferRelativeResize="0">
            <a:picLocks/>
          </xdr:cNvPicPr>
        </xdr:nvPicPr>
        <xdr:blipFill>
          <a:blip xmlns:r="http://schemas.openxmlformats.org/officeDocument/2006/relationships" r:embed="rId29" cstate="print"/>
          <a:srcRect/>
          <a:stretch>
            <a:fillRect/>
          </a:stretch>
        </xdr:blipFill>
        <xdr:spPr bwMode="auto">
          <a:xfrm>
            <a:off x="9056093" y="9602332"/>
            <a:ext cx="233651" cy="295635"/>
          </a:xfrm>
          <a:prstGeom prst="rect">
            <a:avLst/>
          </a:prstGeom>
          <a:noFill/>
          <a:ln w="9525">
            <a:noFill/>
            <a:miter lim="800000"/>
            <a:headEnd/>
            <a:tailEnd/>
          </a:ln>
        </xdr:spPr>
      </xdr:pic>
      <xdr:pic>
        <xdr:nvPicPr>
          <xdr:cNvPr id="116" name="Picture 9"/>
          <xdr:cNvPicPr>
            <a:picLocks noChangeAspect="1" noChangeArrowheads="1"/>
          </xdr:cNvPicPr>
        </xdr:nvPicPr>
        <xdr:blipFill>
          <a:blip xmlns:r="http://schemas.openxmlformats.org/officeDocument/2006/relationships" r:embed="rId53" cstate="print"/>
          <a:srcRect/>
          <a:stretch>
            <a:fillRect/>
          </a:stretch>
        </xdr:blipFill>
        <xdr:spPr bwMode="auto">
          <a:xfrm>
            <a:off x="9051734" y="7751706"/>
            <a:ext cx="232272" cy="317002"/>
          </a:xfrm>
          <a:prstGeom prst="rect">
            <a:avLst/>
          </a:prstGeom>
          <a:noFill/>
        </xdr:spPr>
      </xdr:pic>
      <xdr:pic>
        <xdr:nvPicPr>
          <xdr:cNvPr id="117" name="Picture 7"/>
          <xdr:cNvPicPr preferRelativeResize="0">
            <a:picLocks noChangeArrowheads="1"/>
          </xdr:cNvPicPr>
        </xdr:nvPicPr>
        <xdr:blipFill>
          <a:blip xmlns:r="http://schemas.openxmlformats.org/officeDocument/2006/relationships" r:embed="rId15" cstate="print"/>
          <a:srcRect/>
          <a:stretch>
            <a:fillRect/>
          </a:stretch>
        </xdr:blipFill>
        <xdr:spPr bwMode="auto">
          <a:xfrm>
            <a:off x="8752098" y="10829242"/>
            <a:ext cx="290914" cy="376978"/>
          </a:xfrm>
          <a:prstGeom prst="rect">
            <a:avLst/>
          </a:prstGeom>
          <a:noFill/>
        </xdr:spPr>
      </xdr:pic>
      <xdr:pic>
        <xdr:nvPicPr>
          <xdr:cNvPr id="118" name="Image 117" descr="http://muzillactennisdetable.hautetfort.com/media/02/01/4007256586.pn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048751" y="10827515"/>
            <a:ext cx="252470" cy="38444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 118" descr="http://muzillactennisdetable.hautetfort.com/media/02/00/1851828529.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738902" y="11206220"/>
            <a:ext cx="274416" cy="3328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Picture 13"/>
          <xdr:cNvPicPr>
            <a:picLocks noChangeAspect="1" noChangeArrowheads="1"/>
          </xdr:cNvPicPr>
        </xdr:nvPicPr>
        <xdr:blipFill>
          <a:blip xmlns:r="http://schemas.openxmlformats.org/officeDocument/2006/relationships" r:embed="rId22" cstate="print"/>
          <a:srcRect/>
          <a:stretch>
            <a:fillRect/>
          </a:stretch>
        </xdr:blipFill>
        <xdr:spPr bwMode="auto">
          <a:xfrm>
            <a:off x="9020061" y="11200481"/>
            <a:ext cx="286897" cy="334796"/>
          </a:xfrm>
          <a:prstGeom prst="rect">
            <a:avLst/>
          </a:prstGeom>
          <a:noFill/>
        </xdr:spPr>
      </xdr:pic>
      <xdr:pic>
        <xdr:nvPicPr>
          <xdr:cNvPr id="121" name="Picture 27"/>
          <xdr:cNvPicPr preferRelativeResize="0">
            <a:picLocks noChangeArrowheads="1"/>
          </xdr:cNvPicPr>
        </xdr:nvPicPr>
        <xdr:blipFill>
          <a:blip xmlns:r="http://schemas.openxmlformats.org/officeDocument/2006/relationships" r:embed="rId9" cstate="print"/>
          <a:srcRect/>
          <a:stretch>
            <a:fillRect/>
          </a:stretch>
        </xdr:blipFill>
        <xdr:spPr bwMode="auto">
          <a:xfrm>
            <a:off x="8495153" y="11557645"/>
            <a:ext cx="260961" cy="308439"/>
          </a:xfrm>
          <a:prstGeom prst="rect">
            <a:avLst/>
          </a:prstGeom>
          <a:noFill/>
        </xdr:spPr>
      </xdr:pic>
      <xdr:pic>
        <xdr:nvPicPr>
          <xdr:cNvPr id="122" name="Image 121"/>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8750377" y="11544761"/>
            <a:ext cx="275421" cy="3213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95250</xdr:colOff>
      <xdr:row>220</xdr:row>
      <xdr:rowOff>47625</xdr:rowOff>
    </xdr:from>
    <xdr:to>
      <xdr:col>5</xdr:col>
      <xdr:colOff>1167468</xdr:colOff>
      <xdr:row>223</xdr:row>
      <xdr:rowOff>79872</xdr:rowOff>
    </xdr:to>
    <xdr:pic>
      <xdr:nvPicPr>
        <xdr:cNvPr id="123" name="Picture 20" descr="tournante"/>
        <xdr:cNvPicPr>
          <a:picLocks noChangeAspect="1" noChangeArrowheads="1"/>
        </xdr:cNvPicPr>
      </xdr:nvPicPr>
      <xdr:blipFill>
        <a:blip xmlns:r="http://schemas.openxmlformats.org/officeDocument/2006/relationships" r:embed="rId56" cstate="print"/>
        <a:srcRect/>
        <a:stretch>
          <a:fillRect/>
        </a:stretch>
      </xdr:blipFill>
      <xdr:spPr bwMode="auto">
        <a:xfrm>
          <a:off x="2886075" y="40976550"/>
          <a:ext cx="1072218" cy="603747"/>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5</xdr:col>
          <xdr:colOff>142875</xdr:colOff>
          <xdr:row>183</xdr:row>
          <xdr:rowOff>133350</xdr:rowOff>
        </xdr:from>
        <xdr:to>
          <xdr:col>5</xdr:col>
          <xdr:colOff>1114425</xdr:colOff>
          <xdr:row>193</xdr:row>
          <xdr:rowOff>0</xdr:rowOff>
        </xdr:to>
        <xdr:sp macro="" textlink="">
          <xdr:nvSpPr>
            <xdr:cNvPr id="47105" name="Object 1" hidden="1">
              <a:extLst>
                <a:ext uri="{63B3BB69-23CF-44E3-9099-C40C66FF867C}">
                  <a14:compatExt spid="_x0000_s4710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416984</xdr:colOff>
      <xdr:row>28</xdr:row>
      <xdr:rowOff>35497</xdr:rowOff>
    </xdr:from>
    <xdr:to>
      <xdr:col>8</xdr:col>
      <xdr:colOff>423334</xdr:colOff>
      <xdr:row>35</xdr:row>
      <xdr:rowOff>9526</xdr:rowOff>
    </xdr:to>
    <xdr:pic>
      <xdr:nvPicPr>
        <xdr:cNvPr id="4097" name="Picture 1"/>
        <xdr:cNvPicPr>
          <a:picLocks noChangeAspect="1" noChangeArrowheads="1"/>
        </xdr:cNvPicPr>
      </xdr:nvPicPr>
      <xdr:blipFill>
        <a:blip xmlns:r="http://schemas.openxmlformats.org/officeDocument/2006/relationships" r:embed="rId1" cstate="print">
          <a:lum contrast="-6000"/>
        </a:blip>
        <a:srcRect r="2934"/>
        <a:stretch>
          <a:fillRect/>
        </a:stretch>
      </xdr:blipFill>
      <xdr:spPr bwMode="auto">
        <a:xfrm>
          <a:off x="3253317" y="5813997"/>
          <a:ext cx="1752600" cy="1381612"/>
        </a:xfrm>
        <a:prstGeom prst="rect">
          <a:avLst/>
        </a:prstGeom>
        <a:noFill/>
        <a:ln w="9525">
          <a:noFill/>
          <a:round/>
          <a:headEnd/>
          <a:tailEn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uture%20ch/Documents/Nouveau%20PING/mttgest-sec-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uture%20ch/Documents/Nouveau%20PING/mttgest-sport-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hristophec/AppData/Roaming/Microsoft/Excel/r&#233;sultats%20perso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auvegarde%20msi%20270215\SAUVETAGE%20USB\Disque%20amovible\Documents\PINGMTT\mttg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tophe/AppData/Roaming/Microsoft/Excel/Documents%20and%20Settings/christophe%20c/Mes%20documents/PINGMTT/mttgest20062007-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christophe%20c\Mes%20documents\PINGMTT\mttgest20062007-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hristophe/AppData/Roaming/Microsoft/Excel/AGmtt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sauvegarde%20msi%20270215\SAUVETAGE%20USB\Disque%20amovible\Documents\PINGMTT\AGmttgest2.xls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uture%20ch/Documents/Nouveau%20PING/mttgest-sec-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Gmtt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mttgest.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hristophe/AppData/Roaming/Microsoft/Excel/AGmttg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92"/>
      <sheetName val="Feuil91"/>
      <sheetName val="Feuil90"/>
      <sheetName val="Feuil89"/>
      <sheetName val="Feuil88"/>
      <sheetName val="Feuil87"/>
      <sheetName val="Feuil86"/>
      <sheetName val="Feuil85"/>
      <sheetName val="Feuil84"/>
      <sheetName val="Feuil83"/>
      <sheetName val="Feuil82"/>
      <sheetName val="Feuil81"/>
      <sheetName val="Feuil80"/>
      <sheetName val="Feuil79"/>
      <sheetName val="Feuil78"/>
      <sheetName val="Feuil77"/>
      <sheetName val="Feuil76"/>
      <sheetName val="Feuil75"/>
      <sheetName val="Feuil74"/>
      <sheetName val="Feuil73"/>
      <sheetName val="Feuil72"/>
      <sheetName val="Feuil71"/>
      <sheetName val="Feuil70"/>
      <sheetName val="Feuil69"/>
      <sheetName val="Feuil68"/>
      <sheetName val="Feuil67"/>
      <sheetName val="Feuil66"/>
      <sheetName val="Feuil65"/>
      <sheetName val="Feuil64"/>
      <sheetName val="Feuil63"/>
      <sheetName val="Feuil62"/>
      <sheetName val="Feuil61"/>
      <sheetName val="Feuil60"/>
      <sheetName val="Feuil59"/>
      <sheetName val="Feuil58"/>
      <sheetName val="Feuil57"/>
      <sheetName val="Feuil56"/>
      <sheetName val="Feuil55"/>
      <sheetName val="Feuil54"/>
      <sheetName val="Feuil53"/>
      <sheetName val="Feuil52"/>
      <sheetName val="Feuil51"/>
      <sheetName val="Feuil50"/>
      <sheetName val="Feuil49"/>
      <sheetName val="Feuil48"/>
      <sheetName val="Feuil47"/>
      <sheetName val="Feuil46"/>
      <sheetName val="Feuil45"/>
      <sheetName val="Feuil44"/>
      <sheetName val="Feuil43"/>
      <sheetName val="Feuil42"/>
      <sheetName val="Feuil41"/>
      <sheetName val="Feuil40"/>
      <sheetName val="Feuil39"/>
      <sheetName val="Feuil38"/>
      <sheetName val="Feuil37"/>
      <sheetName val="Feuil36"/>
      <sheetName val="Feuil35"/>
      <sheetName val="Feuil34"/>
      <sheetName val="Feuil33"/>
      <sheetName val="Feuil32"/>
      <sheetName val="Feuil31"/>
      <sheetName val="Feuil30"/>
      <sheetName val="Feuil29"/>
      <sheetName val="Feuil28"/>
      <sheetName val="Feuil27"/>
      <sheetName val="Feuil26"/>
      <sheetName val="Feuil25"/>
      <sheetName val="Feuil24"/>
      <sheetName val="Feuil23"/>
      <sheetName val="Feuil22"/>
      <sheetName val="Feuil21"/>
      <sheetName val="Feuil20"/>
      <sheetName val="Feuil19"/>
      <sheetName val="Feuil18"/>
      <sheetName val="Feuil17"/>
      <sheetName val="Feuil16"/>
      <sheetName val="Feuil15"/>
      <sheetName val="Feuil14"/>
      <sheetName val="Feuil13"/>
      <sheetName val="Feuil12"/>
      <sheetName val="Feuil11"/>
      <sheetName val="Feuil10"/>
      <sheetName val="Feuil9"/>
      <sheetName val="Feuil8"/>
      <sheetName val="Feuil7"/>
      <sheetName val="Feuil6"/>
      <sheetName val="Feuil5"/>
      <sheetName val="Feuil4"/>
      <sheetName val="Loisirs"/>
      <sheetName val="Tradi"/>
      <sheetName val="liste"/>
      <sheetName val="Bordereau(x)"/>
      <sheetName val="insriptions diverses"/>
      <sheetName val="cotisations"/>
      <sheetName val="liste complète"/>
      <sheetName val="gest adhérents"/>
      <sheetName val="Sommaire"/>
      <sheetName val="ADHERENTS"/>
      <sheetName val="acceuil"/>
      <sheetName val="Stat.adhérents"/>
      <sheetName val="Catégories-Tarifs"/>
      <sheetName val="help1"/>
      <sheetName val="Statuts"/>
      <sheetName val="règlement"/>
      <sheetName val="Admin"/>
      <sheetName val="équipes"/>
      <sheetName val="fichcapitaine"/>
      <sheetName val="organigramme"/>
      <sheetName val="Calendrier"/>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3">
          <cell r="B3" t="str">
            <v>Brient Jean-François</v>
          </cell>
        </row>
        <row r="4">
          <cell r="B4" t="str">
            <v>Beyl Yann</v>
          </cell>
        </row>
        <row r="5">
          <cell r="B5" t="str">
            <v>Flégeau Matthieu</v>
          </cell>
        </row>
        <row r="6">
          <cell r="B6" t="str">
            <v>Couture Nicolas</v>
          </cell>
        </row>
        <row r="7">
          <cell r="B7" t="str">
            <v>Nicolas Jérémy</v>
          </cell>
        </row>
        <row r="8">
          <cell r="B8" t="str">
            <v>Roszak Clément</v>
          </cell>
        </row>
        <row r="9">
          <cell r="B9" t="str">
            <v>Trin Kilian</v>
          </cell>
        </row>
        <row r="10">
          <cell r="B10" t="str">
            <v>Faulkner Thierry</v>
          </cell>
        </row>
        <row r="11">
          <cell r="B11" t="str">
            <v>Couture Christophe</v>
          </cell>
        </row>
        <row r="12">
          <cell r="B12" t="str">
            <v>Zaragoza José</v>
          </cell>
        </row>
        <row r="13">
          <cell r="B13" t="str">
            <v>Baudais Luc</v>
          </cell>
        </row>
        <row r="14">
          <cell r="B14" t="str">
            <v>Colombel Guy</v>
          </cell>
        </row>
        <row r="15">
          <cell r="B15" t="str">
            <v>Roszak Martin</v>
          </cell>
        </row>
        <row r="16">
          <cell r="B16" t="str">
            <v>Dayot Franck</v>
          </cell>
        </row>
        <row r="17">
          <cell r="B17" t="str">
            <v>Morin Emmanuel</v>
          </cell>
        </row>
        <row r="18">
          <cell r="B18" t="str">
            <v>Touche Rémy</v>
          </cell>
        </row>
        <row r="19">
          <cell r="B19" t="str">
            <v>Hilton Franck</v>
          </cell>
        </row>
        <row r="20">
          <cell r="B20" t="str">
            <v>Lecossier Michel</v>
          </cell>
        </row>
        <row r="21">
          <cell r="B21" t="str">
            <v>Vilain Benjamin</v>
          </cell>
        </row>
        <row r="22">
          <cell r="B22" t="str">
            <v>Morin Quentin</v>
          </cell>
        </row>
        <row r="23">
          <cell r="B23" t="str">
            <v>Rochefort Reginald</v>
          </cell>
        </row>
        <row r="24">
          <cell r="B24" t="str">
            <v>Le Garnec Sacha</v>
          </cell>
        </row>
      </sheetData>
      <sheetData sheetId="91">
        <row r="3">
          <cell r="BU3" t="str">
            <v>Joueur</v>
          </cell>
          <cell r="BW3" t="str">
            <v>Promo</v>
          </cell>
          <cell r="BY3">
            <v>1</v>
          </cell>
        </row>
        <row r="4">
          <cell r="BU4" t="str">
            <v xml:space="preserve">Membre </v>
          </cell>
          <cell r="BW4" t="str">
            <v>Traditionnelle</v>
          </cell>
          <cell r="BY4">
            <v>2</v>
          </cell>
        </row>
        <row r="5">
          <cell r="BU5" t="str">
            <v>Trésorier</v>
          </cell>
          <cell r="BY5">
            <v>3</v>
          </cell>
        </row>
        <row r="6">
          <cell r="BU6" t="str">
            <v>Trésorier adjoint</v>
          </cell>
          <cell r="BY6">
            <v>4</v>
          </cell>
        </row>
        <row r="7">
          <cell r="BU7" t="str">
            <v>Secrétaire</v>
          </cell>
          <cell r="BY7">
            <v>5</v>
          </cell>
        </row>
        <row r="8">
          <cell r="BU8" t="str">
            <v>Secrétaire adjoint</v>
          </cell>
          <cell r="BY8">
            <v>6</v>
          </cell>
        </row>
        <row r="9">
          <cell r="BU9" t="str">
            <v>Vice président</v>
          </cell>
          <cell r="BY9">
            <v>7</v>
          </cell>
        </row>
        <row r="10">
          <cell r="BU10" t="str">
            <v>Président</v>
          </cell>
          <cell r="BY10">
            <v>8</v>
          </cell>
        </row>
      </sheetData>
      <sheetData sheetId="92"/>
      <sheetData sheetId="93"/>
      <sheetData sheetId="94"/>
      <sheetData sheetId="95"/>
      <sheetData sheetId="96"/>
      <sheetData sheetId="97"/>
      <sheetData sheetId="98"/>
      <sheetData sheetId="99"/>
      <sheetData sheetId="100">
        <row r="2">
          <cell r="J2" t="str">
            <v>Age moyen       (hors jeunes)</v>
          </cell>
        </row>
        <row r="3">
          <cell r="A3" t="str">
            <v>Nombre total d'adhérents :</v>
          </cell>
          <cell r="C3">
            <v>57</v>
          </cell>
          <cell r="D3" t="str">
            <v>( et 1 extérieur(s)) , dont  40 % de jeunes</v>
          </cell>
          <cell r="I3" t="str">
            <v>Tradi</v>
          </cell>
          <cell r="J3">
            <v>31.857142857142858</v>
          </cell>
          <cell r="K3" t="str">
            <v>ans</v>
          </cell>
          <cell r="L3">
            <v>41.185185185185183</v>
          </cell>
        </row>
        <row r="4">
          <cell r="A4" t="str">
            <v>Nombre de licences tradi. :</v>
          </cell>
          <cell r="C4" t="str">
            <v>42  soit</v>
          </cell>
          <cell r="D4">
            <v>0.73684210526315785</v>
          </cell>
          <cell r="E4" t="str">
            <v>dont:</v>
          </cell>
          <cell r="F4">
            <v>15</v>
          </cell>
          <cell r="G4" t="str">
            <v>jeune(s)</v>
          </cell>
          <cell r="I4" t="str">
            <v>Promo</v>
          </cell>
          <cell r="J4">
            <v>27.866666666666667</v>
          </cell>
          <cell r="K4" t="str">
            <v>ans</v>
          </cell>
          <cell r="L4">
            <v>43.163834422657949</v>
          </cell>
        </row>
        <row r="5">
          <cell r="A5" t="str">
            <v>Nombre de licences loisirs :</v>
          </cell>
          <cell r="C5" t="str">
            <v>15  soit</v>
          </cell>
          <cell r="D5">
            <v>0.26315789473684209</v>
          </cell>
          <cell r="E5" t="str">
            <v>dont:</v>
          </cell>
          <cell r="F5">
            <v>8</v>
          </cell>
          <cell r="G5" t="str">
            <v>jeune(s)</v>
          </cell>
          <cell r="I5" t="str">
            <v>Ensemble</v>
          </cell>
          <cell r="J5">
            <v>30.807017543859651</v>
          </cell>
          <cell r="K5" t="str">
            <v>ans</v>
          </cell>
          <cell r="L5">
            <v>41.705882352941174</v>
          </cell>
        </row>
        <row r="6">
          <cell r="A6" t="str">
            <v>Nombre de féminines :</v>
          </cell>
          <cell r="C6" t="str">
            <v>6   soit</v>
          </cell>
          <cell r="D6">
            <v>0.10526315789473684</v>
          </cell>
          <cell r="E6" t="str">
            <v>dont:</v>
          </cell>
          <cell r="F6">
            <v>4</v>
          </cell>
          <cell r="G6" t="str">
            <v>jeune(s)</v>
          </cell>
          <cell r="I6" t="str">
            <v>Le ''benjamin'' a 9 ans et ''l'ainé'' 69 ans</v>
          </cell>
        </row>
        <row r="8">
          <cell r="A8" t="str">
            <v>Ancienneté moyenne :</v>
          </cell>
          <cell r="C8" t="str">
            <v>5,5 ans :</v>
          </cell>
          <cell r="D8" t="str">
            <v>6,3 ans en tradi et 3,1 ans en loisir .</v>
          </cell>
          <cell r="G8" t="str">
            <v>Il y a 19 nouveau(x) licencié(s),soit</v>
          </cell>
          <cell r="J8">
            <v>0.33333333333333331</v>
          </cell>
        </row>
        <row r="9">
          <cell r="B9">
            <v>0.38596491228070173</v>
          </cell>
          <cell r="C9" t="str">
            <v xml:space="preserve">des licenciés (22) sont depuis plus de 5 ans au club, et </v>
          </cell>
          <cell r="I9" t="str">
            <v>11% (6) depuis plus de 10 ans</v>
          </cell>
        </row>
        <row r="10">
          <cell r="A10" t="str">
            <v>TOP 3 : "FIDELITE"</v>
          </cell>
          <cell r="C10" t="str">
            <v>Colombel Guy : 38 ans   ,   Boulaire Emile : 35 ans   ,   Baudais Luc : 23 ans</v>
          </cell>
        </row>
        <row r="11">
          <cell r="A11" t="str">
            <v>Plus de 330 personnes ont été adhérentes sur les 13 dernières années.</v>
          </cell>
          <cell r="G11" t="str">
            <v>33 familles constituent les 58 adhérents</v>
          </cell>
        </row>
        <row r="12">
          <cell r="C12" t="str">
            <v>Traditionnelle</v>
          </cell>
          <cell r="E12" t="str">
            <v>Promo</v>
          </cell>
          <cell r="H12" t="str">
            <v>Ville</v>
          </cell>
          <cell r="I12" t="str">
            <v xml:space="preserve">Répartition </v>
          </cell>
        </row>
        <row r="13">
          <cell r="B13" t="str">
            <v>Total</v>
          </cell>
          <cell r="C13" t="str">
            <v>Hommes</v>
          </cell>
          <cell r="D13" t="str">
            <v>Femmes</v>
          </cell>
          <cell r="E13" t="str">
            <v>Hommes</v>
          </cell>
          <cell r="F13" t="str">
            <v>Femmes</v>
          </cell>
          <cell r="H13" t="str">
            <v>Muzillac :</v>
          </cell>
          <cell r="I13">
            <v>23.001737070369231</v>
          </cell>
          <cell r="J13">
            <v>0.403539246848583</v>
          </cell>
        </row>
        <row r="14">
          <cell r="A14" t="str">
            <v>vétérans</v>
          </cell>
          <cell r="B14">
            <v>21</v>
          </cell>
          <cell r="C14">
            <v>15</v>
          </cell>
          <cell r="D14">
            <v>1</v>
          </cell>
          <cell r="E14">
            <v>4</v>
          </cell>
          <cell r="F14">
            <v>1</v>
          </cell>
          <cell r="H14" t="str">
            <v>Nivillac :</v>
          </cell>
          <cell r="I14">
            <v>6.0084739998883885</v>
          </cell>
          <cell r="J14">
            <v>0.1</v>
          </cell>
        </row>
        <row r="15">
          <cell r="A15" t="str">
            <v>séniors</v>
          </cell>
          <cell r="B15">
            <v>13</v>
          </cell>
          <cell r="C15">
            <v>11</v>
          </cell>
          <cell r="D15">
            <v>0</v>
          </cell>
          <cell r="E15">
            <v>2</v>
          </cell>
          <cell r="F15">
            <v>0</v>
          </cell>
          <cell r="H15" t="str">
            <v>Ambon :</v>
          </cell>
          <cell r="I15">
            <v>6.0045495249749523</v>
          </cell>
          <cell r="J15">
            <v>0.10534297412236758</v>
          </cell>
        </row>
        <row r="16">
          <cell r="A16" t="str">
            <v>juniors</v>
          </cell>
          <cell r="B16">
            <v>8</v>
          </cell>
          <cell r="C16">
            <v>6</v>
          </cell>
          <cell r="D16">
            <v>2</v>
          </cell>
          <cell r="E16">
            <v>0</v>
          </cell>
          <cell r="F16">
            <v>0</v>
          </cell>
          <cell r="H16" t="str">
            <v>Le Guerno :</v>
          </cell>
          <cell r="I16">
            <v>6.0018902222942723</v>
          </cell>
          <cell r="J16">
            <v>0.1052963196893732</v>
          </cell>
        </row>
        <row r="17">
          <cell r="A17" t="str">
            <v>cadets</v>
          </cell>
          <cell r="B17">
            <v>5</v>
          </cell>
          <cell r="C17">
            <v>2</v>
          </cell>
          <cell r="D17">
            <v>1</v>
          </cell>
          <cell r="E17">
            <v>2</v>
          </cell>
          <cell r="F17">
            <v>0</v>
          </cell>
          <cell r="H17" t="str">
            <v>Autres :</v>
          </cell>
          <cell r="I17">
            <v>15.983349182473155</v>
          </cell>
          <cell r="J17">
            <v>0.28040963478023079</v>
          </cell>
        </row>
        <row r="18">
          <cell r="A18" t="str">
            <v>minimes</v>
          </cell>
          <cell r="B18">
            <v>7</v>
          </cell>
          <cell r="C18">
            <v>4</v>
          </cell>
          <cell r="D18">
            <v>0</v>
          </cell>
          <cell r="E18">
            <v>3</v>
          </cell>
          <cell r="F18">
            <v>0</v>
          </cell>
        </row>
        <row r="19">
          <cell r="A19" t="str">
            <v>benjamins</v>
          </cell>
          <cell r="B19">
            <v>3</v>
          </cell>
          <cell r="C19">
            <v>0</v>
          </cell>
          <cell r="D19">
            <v>0</v>
          </cell>
          <cell r="E19">
            <v>2</v>
          </cell>
          <cell r="F19">
            <v>1</v>
          </cell>
        </row>
        <row r="20">
          <cell r="A20" t="str">
            <v>poussins</v>
          </cell>
          <cell r="B20">
            <v>0</v>
          </cell>
          <cell r="C20">
            <v>0</v>
          </cell>
          <cell r="D20">
            <v>0</v>
          </cell>
          <cell r="E20">
            <v>0</v>
          </cell>
          <cell r="F20">
            <v>0</v>
          </cell>
        </row>
        <row r="21">
          <cell r="C21">
            <v>38</v>
          </cell>
          <cell r="D21">
            <v>4</v>
          </cell>
          <cell r="E21">
            <v>13</v>
          </cell>
          <cell r="F21">
            <v>2</v>
          </cell>
        </row>
        <row r="22">
          <cell r="C22">
            <v>0.90476190476190477</v>
          </cell>
          <cell r="D22">
            <v>9.5238095238095233E-2</v>
          </cell>
          <cell r="E22">
            <v>0.8666666666666667</v>
          </cell>
          <cell r="F22">
            <v>0.13333333333333333</v>
          </cell>
        </row>
      </sheetData>
      <sheetData sheetId="101"/>
      <sheetData sheetId="102"/>
      <sheetData sheetId="103"/>
      <sheetData sheetId="104"/>
      <sheetData sheetId="105"/>
      <sheetData sheetId="106">
        <row r="33">
          <cell r="A33" t="str">
            <v>?</v>
          </cell>
        </row>
      </sheetData>
      <sheetData sheetId="107"/>
      <sheetData sheetId="108"/>
      <sheetData sheetId="109"/>
      <sheetData sheetId="1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commentaires (2)"/>
      <sheetName val="Actualités"/>
      <sheetName val="Tradi"/>
      <sheetName val="liste"/>
      <sheetName val="Sommaire"/>
      <sheetName val="acceuil"/>
      <sheetName val="blog stats"/>
      <sheetName val="Somm.résultats"/>
      <sheetName val="points"/>
      <sheetName val="rang"/>
      <sheetName val=" joueur de l'année"/>
      <sheetName val="cal.Ph1"/>
      <sheetName val="cal.Ph2"/>
      <sheetName val="Feuil1"/>
      <sheetName val="résultats des équipes"/>
      <sheetName val="résultats commentaires"/>
      <sheetName val="Coupe poule"/>
      <sheetName val="bilan championnat"/>
      <sheetName val="résultats"/>
      <sheetName val="Critérium"/>
      <sheetName val="clt"/>
      <sheetName val="help1"/>
      <sheetName val="championnat féminin"/>
      <sheetName val="championnat jeune"/>
      <sheetName val="compo des équipes "/>
      <sheetName val="résultats des équipes (2)"/>
      <sheetName val="présentation blog"/>
      <sheetName val="équipes"/>
      <sheetName val="clt (2)"/>
    </sheetNames>
    <sheetDataSet>
      <sheetData sheetId="0"/>
      <sheetData sheetId="1"/>
      <sheetData sheetId="2"/>
      <sheetData sheetId="3">
        <row r="1">
          <cell r="AM1" t="str">
            <v>points licenciés tradi ok</v>
          </cell>
          <cell r="AN1" t="str">
            <v>Nom Prénom</v>
          </cell>
          <cell r="AO1">
            <v>36580.223099999988</v>
          </cell>
          <cell r="AP1" t="str">
            <v>Classement</v>
          </cell>
          <cell r="AQ1" t="str">
            <v>Equipe principale</v>
          </cell>
          <cell r="AR1" t="str">
            <v>Critérium</v>
          </cell>
          <cell r="AW1" t="str">
            <v>Certificat médical</v>
          </cell>
          <cell r="AX1" t="str">
            <v>catégories d'age</v>
          </cell>
          <cell r="BC1" t="str">
            <v>Championnat</v>
          </cell>
          <cell r="BD1" t="str">
            <v>Sexe</v>
          </cell>
        </row>
        <row r="2">
          <cell r="B2" t="str">
            <v/>
          </cell>
          <cell r="C2" t="str">
            <v>Joueur</v>
          </cell>
          <cell r="D2" t="str">
            <v/>
          </cell>
          <cell r="E2">
            <v>56190</v>
          </cell>
          <cell r="F2" t="str">
            <v/>
          </cell>
          <cell r="G2" t="str">
            <v/>
          </cell>
          <cell r="H2" t="str">
            <v>C</v>
          </cell>
          <cell r="I2">
            <v>36532</v>
          </cell>
          <cell r="J2" t="str">
            <v>Cadet</v>
          </cell>
          <cell r="K2">
            <v>0</v>
          </cell>
          <cell r="L2">
            <v>0</v>
          </cell>
          <cell r="M2" t="str">
            <v/>
          </cell>
          <cell r="AM2">
            <v>0</v>
          </cell>
          <cell r="AN2" t="str">
            <v/>
          </cell>
          <cell r="AO2" t="str">
            <v/>
          </cell>
          <cell r="AP2" t="str">
            <v/>
          </cell>
          <cell r="AQ2" t="str">
            <v/>
          </cell>
          <cell r="AR2">
            <v>0</v>
          </cell>
          <cell r="AU2" t="str">
            <v/>
          </cell>
          <cell r="AV2">
            <v>0</v>
          </cell>
          <cell r="AW2">
            <v>0</v>
          </cell>
          <cell r="AX2">
            <v>0</v>
          </cell>
          <cell r="AY2">
            <v>0</v>
          </cell>
          <cell r="AZ2">
            <v>0</v>
          </cell>
          <cell r="BA2">
            <v>0</v>
          </cell>
          <cell r="BB2">
            <v>0</v>
          </cell>
          <cell r="BC2" t="str">
            <v/>
          </cell>
          <cell r="BD2">
            <v>2</v>
          </cell>
          <cell r="BQ2">
            <v>0</v>
          </cell>
          <cell r="BR2" t="str">
            <v/>
          </cell>
        </row>
        <row r="3">
          <cell r="B3" t="str">
            <v>Baudais Luc</v>
          </cell>
          <cell r="C3" t="str">
            <v>Secrétaire adjoint</v>
          </cell>
          <cell r="D3" t="str">
            <v>8 rue des sorbiers</v>
          </cell>
          <cell r="E3">
            <v>56190</v>
          </cell>
          <cell r="F3" t="str">
            <v>Bauda</v>
          </cell>
          <cell r="G3" t="str">
            <v>Muzillac</v>
          </cell>
          <cell r="H3" t="str">
            <v>V</v>
          </cell>
          <cell r="I3">
            <v>21243</v>
          </cell>
          <cell r="J3" t="str">
            <v>Vétéran</v>
          </cell>
          <cell r="K3" t="str">
            <v>02.97.41.65.24</v>
          </cell>
          <cell r="L3">
            <v>633893418</v>
          </cell>
          <cell r="M3">
            <v>57</v>
          </cell>
          <cell r="AM3">
            <v>1056.02</v>
          </cell>
          <cell r="AN3" t="str">
            <v>Baudais Luc</v>
          </cell>
          <cell r="AO3">
            <v>1056.02</v>
          </cell>
          <cell r="AP3">
            <v>10</v>
          </cell>
          <cell r="AQ3">
            <v>4</v>
          </cell>
          <cell r="AR3">
            <v>0</v>
          </cell>
          <cell r="AU3" t="str">
            <v>Baudais Luc</v>
          </cell>
          <cell r="AV3" t="str">
            <v>baudais.luc@wanadoo.fr</v>
          </cell>
          <cell r="AW3" t="str">
            <v>x</v>
          </cell>
          <cell r="AX3" t="str">
            <v>Poussin</v>
          </cell>
          <cell r="AY3">
            <v>38718</v>
          </cell>
          <cell r="AZ3" t="str">
            <v>et après</v>
          </cell>
          <cell r="BA3">
            <v>0</v>
          </cell>
          <cell r="BB3">
            <v>0</v>
          </cell>
          <cell r="BC3" t="b">
            <v>1</v>
          </cell>
          <cell r="BD3">
            <v>2</v>
          </cell>
          <cell r="BQ3">
            <v>0</v>
          </cell>
          <cell r="BR3" t="str">
            <v/>
          </cell>
        </row>
        <row r="4">
          <cell r="B4" t="str">
            <v/>
          </cell>
          <cell r="C4" t="str">
            <v>Joueur</v>
          </cell>
          <cell r="D4" t="str">
            <v/>
          </cell>
          <cell r="E4">
            <v>56190</v>
          </cell>
          <cell r="F4" t="str">
            <v/>
          </cell>
          <cell r="G4" t="str">
            <v/>
          </cell>
          <cell r="H4" t="str">
            <v>M</v>
          </cell>
          <cell r="I4">
            <v>37319</v>
          </cell>
          <cell r="J4" t="str">
            <v>Minime</v>
          </cell>
          <cell r="K4">
            <v>297414233</v>
          </cell>
          <cell r="L4">
            <v>661757991</v>
          </cell>
          <cell r="M4" t="str">
            <v/>
          </cell>
          <cell r="AM4">
            <v>0</v>
          </cell>
          <cell r="AN4" t="str">
            <v/>
          </cell>
          <cell r="AO4" t="str">
            <v/>
          </cell>
          <cell r="AP4" t="str">
            <v/>
          </cell>
          <cell r="AQ4" t="str">
            <v/>
          </cell>
          <cell r="AR4">
            <v>0</v>
          </cell>
          <cell r="AU4" t="str">
            <v/>
          </cell>
          <cell r="AV4" t="str">
            <v>coralie.sablos@neuf.fr</v>
          </cell>
          <cell r="AW4">
            <v>0</v>
          </cell>
          <cell r="AX4" t="str">
            <v>Benjamin</v>
          </cell>
          <cell r="AY4">
            <v>37987</v>
          </cell>
          <cell r="AZ4" t="str">
            <v>au 31/12/2005</v>
          </cell>
          <cell r="BA4">
            <v>0</v>
          </cell>
          <cell r="BB4">
            <v>0</v>
          </cell>
          <cell r="BC4" t="str">
            <v/>
          </cell>
          <cell r="BD4">
            <v>2</v>
          </cell>
          <cell r="BQ4">
            <v>0</v>
          </cell>
          <cell r="BR4" t="str">
            <v/>
          </cell>
        </row>
        <row r="5">
          <cell r="B5" t="str">
            <v/>
          </cell>
          <cell r="C5" t="str">
            <v>Joueur</v>
          </cell>
          <cell r="D5" t="str">
            <v/>
          </cell>
          <cell r="E5">
            <v>56190</v>
          </cell>
          <cell r="F5" t="str">
            <v/>
          </cell>
          <cell r="G5" t="str">
            <v/>
          </cell>
          <cell r="H5" t="str">
            <v>C</v>
          </cell>
          <cell r="I5">
            <v>37245</v>
          </cell>
          <cell r="J5" t="str">
            <v>Cadet</v>
          </cell>
          <cell r="K5">
            <v>698101552</v>
          </cell>
          <cell r="L5">
            <v>0</v>
          </cell>
          <cell r="M5" t="str">
            <v/>
          </cell>
          <cell r="AM5">
            <v>0</v>
          </cell>
          <cell r="AN5" t="str">
            <v/>
          </cell>
          <cell r="AO5" t="str">
            <v/>
          </cell>
          <cell r="AP5" t="str">
            <v/>
          </cell>
          <cell r="AQ5" t="str">
            <v/>
          </cell>
          <cell r="AR5">
            <v>0</v>
          </cell>
          <cell r="AU5" t="str">
            <v/>
          </cell>
          <cell r="AV5">
            <v>0</v>
          </cell>
          <cell r="AW5">
            <v>0</v>
          </cell>
          <cell r="AX5" t="str">
            <v>Minime</v>
          </cell>
          <cell r="AY5">
            <v>37257</v>
          </cell>
          <cell r="AZ5" t="str">
            <v>au 31/12/2003</v>
          </cell>
          <cell r="BA5">
            <v>0</v>
          </cell>
          <cell r="BB5">
            <v>0</v>
          </cell>
          <cell r="BC5" t="str">
            <v/>
          </cell>
          <cell r="BD5">
            <v>2</v>
          </cell>
          <cell r="BQ5">
            <v>0</v>
          </cell>
          <cell r="BR5" t="str">
            <v/>
          </cell>
        </row>
        <row r="6">
          <cell r="B6" t="str">
            <v>Morin Léa</v>
          </cell>
          <cell r="C6" t="str">
            <v>Joueur</v>
          </cell>
          <cell r="D6" t="str">
            <v>impasse des églantiers</v>
          </cell>
          <cell r="E6">
            <v>56190</v>
          </cell>
          <cell r="F6" t="str">
            <v>Morin</v>
          </cell>
          <cell r="G6" t="str">
            <v>Muzillac</v>
          </cell>
          <cell r="H6" t="str">
            <v>J</v>
          </cell>
          <cell r="I6">
            <v>36147</v>
          </cell>
          <cell r="J6" t="str">
            <v>Junior</v>
          </cell>
          <cell r="K6">
            <v>297416226</v>
          </cell>
          <cell r="L6">
            <v>643952869</v>
          </cell>
          <cell r="M6">
            <v>16</v>
          </cell>
          <cell r="AM6">
            <v>665.05</v>
          </cell>
          <cell r="AN6" t="str">
            <v>Morin Léa</v>
          </cell>
          <cell r="AO6" t="str">
            <v/>
          </cell>
          <cell r="AP6">
            <v>6</v>
          </cell>
          <cell r="AQ6">
            <v>5</v>
          </cell>
          <cell r="AR6" t="str">
            <v>x</v>
          </cell>
          <cell r="AU6" t="str">
            <v>Morin Léa</v>
          </cell>
          <cell r="AV6" t="str">
            <v>leamorin.r98@live.fr</v>
          </cell>
          <cell r="AW6" t="str">
            <v>x</v>
          </cell>
          <cell r="AX6" t="str">
            <v>Cadet</v>
          </cell>
          <cell r="AY6">
            <v>36526</v>
          </cell>
          <cell r="AZ6" t="str">
            <v>au 31/12/2001</v>
          </cell>
          <cell r="BA6">
            <v>0</v>
          </cell>
          <cell r="BB6">
            <v>0</v>
          </cell>
          <cell r="BC6" t="b">
            <v>1</v>
          </cell>
          <cell r="BD6">
            <v>1</v>
          </cell>
          <cell r="BQ6">
            <v>36147</v>
          </cell>
          <cell r="BR6" t="str">
            <v>Morin Léa</v>
          </cell>
        </row>
        <row r="7">
          <cell r="B7" t="str">
            <v/>
          </cell>
          <cell r="C7" t="str">
            <v>Joueur</v>
          </cell>
          <cell r="D7" t="str">
            <v/>
          </cell>
          <cell r="E7">
            <v>56190</v>
          </cell>
          <cell r="F7" t="str">
            <v/>
          </cell>
          <cell r="G7" t="str">
            <v/>
          </cell>
          <cell r="H7" t="str">
            <v>V</v>
          </cell>
          <cell r="I7">
            <v>14913</v>
          </cell>
          <cell r="J7" t="str">
            <v>Vétéran</v>
          </cell>
          <cell r="K7">
            <v>297486809</v>
          </cell>
          <cell r="L7">
            <v>0</v>
          </cell>
          <cell r="M7" t="str">
            <v/>
          </cell>
          <cell r="AM7">
            <v>0</v>
          </cell>
          <cell r="AN7" t="str">
            <v/>
          </cell>
          <cell r="AO7" t="str">
            <v/>
          </cell>
          <cell r="AP7" t="str">
            <v/>
          </cell>
          <cell r="AQ7" t="str">
            <v/>
          </cell>
          <cell r="AR7">
            <v>0</v>
          </cell>
          <cell r="AU7" t="str">
            <v/>
          </cell>
          <cell r="AV7">
            <v>0</v>
          </cell>
          <cell r="AW7">
            <v>0</v>
          </cell>
          <cell r="AX7" t="str">
            <v>Junior</v>
          </cell>
          <cell r="AY7">
            <v>35431</v>
          </cell>
          <cell r="AZ7" t="str">
            <v>au 31/12/1999</v>
          </cell>
          <cell r="BA7">
            <v>0</v>
          </cell>
          <cell r="BB7">
            <v>0</v>
          </cell>
          <cell r="BC7" t="str">
            <v/>
          </cell>
          <cell r="BD7">
            <v>1</v>
          </cell>
          <cell r="BQ7">
            <v>0</v>
          </cell>
          <cell r="BR7" t="str">
            <v/>
          </cell>
        </row>
        <row r="8">
          <cell r="B8" t="str">
            <v>Cojean Youen</v>
          </cell>
          <cell r="C8" t="str">
            <v>Joueur</v>
          </cell>
          <cell r="D8" t="str">
            <v>12 rue des mésanges</v>
          </cell>
          <cell r="E8">
            <v>56190</v>
          </cell>
          <cell r="F8" t="str">
            <v>Cojea</v>
          </cell>
          <cell r="G8" t="str">
            <v>Muzillac</v>
          </cell>
          <cell r="H8" t="str">
            <v>J</v>
          </cell>
          <cell r="I8">
            <v>35724</v>
          </cell>
          <cell r="J8" t="str">
            <v>Junior</v>
          </cell>
          <cell r="K8">
            <v>297483127</v>
          </cell>
          <cell r="L8">
            <v>0</v>
          </cell>
          <cell r="M8">
            <v>17</v>
          </cell>
          <cell r="AM8">
            <v>835.07</v>
          </cell>
          <cell r="AN8" t="str">
            <v>Cojean Youen</v>
          </cell>
          <cell r="AO8">
            <v>835.07</v>
          </cell>
          <cell r="AP8">
            <v>8</v>
          </cell>
          <cell r="AQ8">
            <v>3</v>
          </cell>
          <cell r="AR8" t="str">
            <v>x</v>
          </cell>
          <cell r="AU8" t="str">
            <v>Cojean Youen</v>
          </cell>
          <cell r="AV8" t="str">
            <v>youen.cojean@laposte.net</v>
          </cell>
          <cell r="AW8" t="str">
            <v>x</v>
          </cell>
          <cell r="AX8" t="str">
            <v>Sénior</v>
          </cell>
          <cell r="AY8">
            <v>27395</v>
          </cell>
          <cell r="AZ8" t="str">
            <v>au 31/12/1996</v>
          </cell>
          <cell r="BA8">
            <v>0</v>
          </cell>
          <cell r="BB8">
            <v>0</v>
          </cell>
          <cell r="BC8" t="b">
            <v>1</v>
          </cell>
          <cell r="BD8">
            <v>2</v>
          </cell>
          <cell r="BQ8">
            <v>35724</v>
          </cell>
          <cell r="BR8" t="str">
            <v>Cojean Youen</v>
          </cell>
        </row>
        <row r="9">
          <cell r="B9" t="str">
            <v>Boulaire Emile</v>
          </cell>
          <cell r="C9" t="str">
            <v>Joueur</v>
          </cell>
          <cell r="D9" t="str">
            <v>16 allée des chouans</v>
          </cell>
          <cell r="E9">
            <v>56190</v>
          </cell>
          <cell r="F9" t="str">
            <v>Boula</v>
          </cell>
          <cell r="G9" t="str">
            <v>Muzillac</v>
          </cell>
          <cell r="H9" t="str">
            <v>V</v>
          </cell>
          <cell r="I9">
            <v>18691</v>
          </cell>
          <cell r="J9" t="str">
            <v>Vétéran</v>
          </cell>
          <cell r="K9" t="str">
            <v>02.97.41.68.02</v>
          </cell>
          <cell r="L9">
            <v>603634724</v>
          </cell>
          <cell r="M9">
            <v>64</v>
          </cell>
          <cell r="AM9">
            <v>832.08</v>
          </cell>
          <cell r="AN9" t="str">
            <v>Boulaire Emile</v>
          </cell>
          <cell r="AO9">
            <v>832.08</v>
          </cell>
          <cell r="AP9">
            <v>8</v>
          </cell>
          <cell r="AQ9">
            <v>6</v>
          </cell>
          <cell r="AR9">
            <v>0</v>
          </cell>
          <cell r="AU9" t="str">
            <v>Boulaire Emile</v>
          </cell>
          <cell r="AV9" t="str">
            <v>e.boulaire@orange.fr</v>
          </cell>
          <cell r="AW9" t="str">
            <v>x</v>
          </cell>
          <cell r="AX9" t="str">
            <v>Vétéran</v>
          </cell>
          <cell r="AY9">
            <v>1</v>
          </cell>
          <cell r="AZ9" t="str">
            <v>au 31/12/1974</v>
          </cell>
          <cell r="BA9">
            <v>0</v>
          </cell>
          <cell r="BB9">
            <v>0</v>
          </cell>
          <cell r="BC9" t="b">
            <v>1</v>
          </cell>
          <cell r="BD9">
            <v>2</v>
          </cell>
          <cell r="BQ9">
            <v>0</v>
          </cell>
          <cell r="BR9" t="str">
            <v/>
          </cell>
        </row>
        <row r="10">
          <cell r="B10" t="str">
            <v>Dayot Franck</v>
          </cell>
          <cell r="C10" t="str">
            <v>Joueur</v>
          </cell>
          <cell r="D10" t="str">
            <v>14 rue charles géniaux</v>
          </cell>
          <cell r="E10">
            <v>56190</v>
          </cell>
          <cell r="F10" t="str">
            <v>Dayot</v>
          </cell>
          <cell r="G10" t="str">
            <v>Muzillac</v>
          </cell>
          <cell r="H10" t="str">
            <v>V</v>
          </cell>
          <cell r="I10">
            <v>25316</v>
          </cell>
          <cell r="J10" t="str">
            <v>Vétéran</v>
          </cell>
          <cell r="K10">
            <v>297415562</v>
          </cell>
          <cell r="L10">
            <v>0</v>
          </cell>
          <cell r="M10">
            <v>46</v>
          </cell>
          <cell r="AM10">
            <v>1018.09</v>
          </cell>
          <cell r="AN10" t="str">
            <v>Dayot Franck</v>
          </cell>
          <cell r="AO10">
            <v>1018.09</v>
          </cell>
          <cell r="AP10">
            <v>10</v>
          </cell>
          <cell r="AQ10">
            <v>6</v>
          </cell>
          <cell r="AR10">
            <v>0</v>
          </cell>
          <cell r="AU10" t="str">
            <v>Dayot Franck</v>
          </cell>
          <cell r="AV10">
            <v>0</v>
          </cell>
          <cell r="AW10" t="str">
            <v>x</v>
          </cell>
          <cell r="AX10">
            <v>0</v>
          </cell>
          <cell r="AY10">
            <v>0</v>
          </cell>
          <cell r="AZ10">
            <v>0</v>
          </cell>
          <cell r="BA10">
            <v>0</v>
          </cell>
          <cell r="BB10">
            <v>0</v>
          </cell>
          <cell r="BC10" t="b">
            <v>1</v>
          </cell>
          <cell r="BD10">
            <v>2</v>
          </cell>
          <cell r="BQ10">
            <v>0</v>
          </cell>
          <cell r="BR10" t="str">
            <v/>
          </cell>
        </row>
        <row r="11">
          <cell r="B11" t="str">
            <v>Colombel Guy</v>
          </cell>
          <cell r="C11" t="str">
            <v>Joueur</v>
          </cell>
          <cell r="D11" t="str">
            <v>7 allée des renoncules La Lande Baule</v>
          </cell>
          <cell r="E11">
            <v>56190</v>
          </cell>
          <cell r="F11" t="str">
            <v>Colom</v>
          </cell>
          <cell r="G11" t="str">
            <v>Muzillac</v>
          </cell>
          <cell r="H11" t="str">
            <v>V</v>
          </cell>
          <cell r="I11">
            <v>19251</v>
          </cell>
          <cell r="J11" t="str">
            <v>Vétéran</v>
          </cell>
          <cell r="K11" t="str">
            <v>02.97.48.69.64</v>
          </cell>
          <cell r="L11">
            <v>673668082</v>
          </cell>
          <cell r="M11">
            <v>62</v>
          </cell>
          <cell r="AM11">
            <v>1044.011</v>
          </cell>
          <cell r="AN11" t="str">
            <v>Colombel Guy</v>
          </cell>
          <cell r="AO11">
            <v>1044.011</v>
          </cell>
          <cell r="AP11">
            <v>10</v>
          </cell>
          <cell r="AQ11">
            <v>4</v>
          </cell>
          <cell r="AR11">
            <v>0</v>
          </cell>
          <cell r="AU11" t="str">
            <v>Colombel Guy</v>
          </cell>
          <cell r="AV11" t="str">
            <v>guy.colombel@wanadoo.fr</v>
          </cell>
          <cell r="AW11" t="str">
            <v>x</v>
          </cell>
          <cell r="AX11">
            <v>0</v>
          </cell>
          <cell r="AY11">
            <v>0</v>
          </cell>
          <cell r="AZ11">
            <v>0</v>
          </cell>
          <cell r="BA11">
            <v>0</v>
          </cell>
          <cell r="BB11">
            <v>0</v>
          </cell>
          <cell r="BC11" t="b">
            <v>1</v>
          </cell>
          <cell r="BD11">
            <v>2</v>
          </cell>
          <cell r="BQ11">
            <v>0</v>
          </cell>
          <cell r="BR11" t="str">
            <v/>
          </cell>
        </row>
        <row r="12">
          <cell r="B12" t="str">
            <v>Letoqueux serge</v>
          </cell>
          <cell r="C12" t="str">
            <v>Joueur</v>
          </cell>
          <cell r="D12" t="str">
            <v>307 lieu-dit Lostihuel Braz</v>
          </cell>
          <cell r="E12">
            <v>56250</v>
          </cell>
          <cell r="F12" t="str">
            <v>Letoq</v>
          </cell>
          <cell r="G12" t="str">
            <v>Sulniac</v>
          </cell>
          <cell r="H12" t="str">
            <v>V</v>
          </cell>
          <cell r="I12">
            <v>21623</v>
          </cell>
          <cell r="J12" t="str">
            <v>Vétéran</v>
          </cell>
          <cell r="K12" t="str">
            <v>02 97 63 37 85</v>
          </cell>
          <cell r="L12">
            <v>0</v>
          </cell>
          <cell r="M12" t="str">
            <v/>
          </cell>
          <cell r="O12" t="str">
            <v/>
          </cell>
          <cell r="R12" t="str">
            <v/>
          </cell>
          <cell r="S12" t="str">
            <v/>
          </cell>
          <cell r="AM12">
            <v>0</v>
          </cell>
          <cell r="AN12" t="str">
            <v>Letoqueux serge</v>
          </cell>
          <cell r="AO12" t="str">
            <v/>
          </cell>
          <cell r="AP12" t="str">
            <v/>
          </cell>
          <cell r="AQ12" t="str">
            <v/>
          </cell>
          <cell r="AR12">
            <v>0</v>
          </cell>
          <cell r="AU12" t="str">
            <v>Letoqueux serge</v>
          </cell>
          <cell r="AV12">
            <v>0</v>
          </cell>
          <cell r="AW12">
            <v>0</v>
          </cell>
          <cell r="AX12">
            <v>0</v>
          </cell>
          <cell r="AY12" t="str">
            <v>Prix des licences</v>
          </cell>
          <cell r="AZ12">
            <v>0</v>
          </cell>
          <cell r="BA12">
            <v>0</v>
          </cell>
          <cell r="BB12">
            <v>0</v>
          </cell>
          <cell r="BC12" t="str">
            <v/>
          </cell>
          <cell r="BD12">
            <v>2</v>
          </cell>
          <cell r="BQ12">
            <v>0</v>
          </cell>
          <cell r="BR12" t="str">
            <v/>
          </cell>
        </row>
        <row r="13">
          <cell r="B13" t="str">
            <v>Couture Christophe</v>
          </cell>
          <cell r="C13" t="str">
            <v>Secrétaire</v>
          </cell>
          <cell r="D13" t="str">
            <v>1 imp. borg néhué</v>
          </cell>
          <cell r="E13">
            <v>56190</v>
          </cell>
          <cell r="F13" t="str">
            <v>Coutu</v>
          </cell>
          <cell r="G13" t="str">
            <v>Le Guerno</v>
          </cell>
          <cell r="H13" t="str">
            <v>V</v>
          </cell>
          <cell r="I13">
            <v>22549</v>
          </cell>
          <cell r="J13" t="str">
            <v>Vétéran</v>
          </cell>
          <cell r="K13" t="str">
            <v>02.97.42.83.27</v>
          </cell>
          <cell r="L13">
            <v>698782572</v>
          </cell>
          <cell r="M13">
            <v>53</v>
          </cell>
          <cell r="AM13">
            <v>1083.0130999999999</v>
          </cell>
          <cell r="AN13" t="str">
            <v>Couture Christophe</v>
          </cell>
          <cell r="AO13">
            <v>1083.0130999999999</v>
          </cell>
          <cell r="AP13">
            <v>10</v>
          </cell>
          <cell r="AQ13">
            <v>4</v>
          </cell>
          <cell r="AR13">
            <v>0</v>
          </cell>
          <cell r="AU13" t="str">
            <v>Couture Christophe</v>
          </cell>
          <cell r="AV13" t="str">
            <v>couturech@orange.fr</v>
          </cell>
          <cell r="AW13" t="str">
            <v>x</v>
          </cell>
          <cell r="AX13">
            <v>0</v>
          </cell>
          <cell r="AY13" t="str">
            <v>Promo</v>
          </cell>
          <cell r="AZ13" t="str">
            <v>compétition</v>
          </cell>
          <cell r="BA13" t="str">
            <v>critérium</v>
          </cell>
          <cell r="BB13" t="str">
            <v>comp+crit</v>
          </cell>
          <cell r="BC13" t="b">
            <v>1</v>
          </cell>
          <cell r="BD13">
            <v>2</v>
          </cell>
          <cell r="BQ13">
            <v>0</v>
          </cell>
          <cell r="BR13" t="str">
            <v/>
          </cell>
        </row>
        <row r="14">
          <cell r="B14" t="str">
            <v/>
          </cell>
          <cell r="C14" t="str">
            <v>Joueur</v>
          </cell>
          <cell r="D14" t="str">
            <v/>
          </cell>
          <cell r="E14">
            <v>56130</v>
          </cell>
          <cell r="F14" t="str">
            <v/>
          </cell>
          <cell r="G14" t="str">
            <v/>
          </cell>
          <cell r="H14" t="str">
            <v>V</v>
          </cell>
          <cell r="I14">
            <v>26768</v>
          </cell>
          <cell r="J14" t="str">
            <v>Vétéran</v>
          </cell>
          <cell r="K14">
            <v>0</v>
          </cell>
          <cell r="L14">
            <v>0</v>
          </cell>
          <cell r="M14" t="str">
            <v/>
          </cell>
          <cell r="AM14">
            <v>0</v>
          </cell>
          <cell r="AN14" t="str">
            <v/>
          </cell>
          <cell r="AO14" t="str">
            <v/>
          </cell>
          <cell r="AP14" t="str">
            <v/>
          </cell>
          <cell r="AQ14" t="str">
            <v/>
          </cell>
          <cell r="AR14">
            <v>0</v>
          </cell>
          <cell r="AU14" t="str">
            <v/>
          </cell>
          <cell r="AV14" t="str">
            <v>gappsb@hotmail.fr</v>
          </cell>
          <cell r="AW14">
            <v>0</v>
          </cell>
          <cell r="AX14" t="str">
            <v>Poussin</v>
          </cell>
          <cell r="AY14">
            <v>32</v>
          </cell>
          <cell r="AZ14">
            <v>50</v>
          </cell>
          <cell r="BA14">
            <v>13</v>
          </cell>
          <cell r="BB14">
            <v>63</v>
          </cell>
          <cell r="BC14" t="str">
            <v/>
          </cell>
          <cell r="BD14">
            <v>2</v>
          </cell>
          <cell r="BQ14">
            <v>0</v>
          </cell>
          <cell r="BR14" t="str">
            <v/>
          </cell>
        </row>
        <row r="15">
          <cell r="B15" t="str">
            <v>Le Garnec Sacha</v>
          </cell>
          <cell r="C15" t="str">
            <v>Joueur</v>
          </cell>
          <cell r="D15" t="str">
            <v>7 rue de Pen Mur</v>
          </cell>
          <cell r="E15">
            <v>56190</v>
          </cell>
          <cell r="F15" t="str">
            <v>Le Ga</v>
          </cell>
          <cell r="G15" t="str">
            <v>Muzillac</v>
          </cell>
          <cell r="H15" t="str">
            <v>C</v>
          </cell>
          <cell r="I15">
            <v>36618</v>
          </cell>
          <cell r="J15" t="str">
            <v>Cadet</v>
          </cell>
          <cell r="K15">
            <v>685530674</v>
          </cell>
          <cell r="L15">
            <v>963280867</v>
          </cell>
          <cell r="M15">
            <v>15</v>
          </cell>
          <cell r="AM15">
            <v>842.01499999999999</v>
          </cell>
          <cell r="AN15" t="str">
            <v>Le Garnec Sacha</v>
          </cell>
          <cell r="AO15">
            <v>842.01499999999999</v>
          </cell>
          <cell r="AP15">
            <v>8</v>
          </cell>
          <cell r="AQ15">
            <v>3</v>
          </cell>
          <cell r="AR15">
            <v>0</v>
          </cell>
          <cell r="AU15" t="str">
            <v>Le Garnec Sacha</v>
          </cell>
          <cell r="AV15">
            <v>0</v>
          </cell>
          <cell r="AW15" t="str">
            <v>x</v>
          </cell>
          <cell r="AX15" t="str">
            <v>Benjamin</v>
          </cell>
          <cell r="AY15">
            <v>42</v>
          </cell>
          <cell r="AZ15">
            <v>50</v>
          </cell>
          <cell r="BA15">
            <v>13</v>
          </cell>
          <cell r="BB15">
            <v>63</v>
          </cell>
          <cell r="BC15" t="b">
            <v>1</v>
          </cell>
          <cell r="BD15">
            <v>2</v>
          </cell>
          <cell r="BQ15">
            <v>36618</v>
          </cell>
          <cell r="BR15" t="str">
            <v>Le Garnec Sacha</v>
          </cell>
        </row>
        <row r="16">
          <cell r="B16" t="str">
            <v>Morin Emmanuel</v>
          </cell>
          <cell r="C16" t="str">
            <v>Joueur</v>
          </cell>
          <cell r="D16" t="str">
            <v>Impasse des églantiers</v>
          </cell>
          <cell r="E16">
            <v>56190</v>
          </cell>
          <cell r="F16" t="str">
            <v>Morin</v>
          </cell>
          <cell r="G16" t="str">
            <v>Muzillac</v>
          </cell>
          <cell r="H16" t="str">
            <v>V</v>
          </cell>
          <cell r="I16">
            <v>27351</v>
          </cell>
          <cell r="J16" t="str">
            <v>Vétéran</v>
          </cell>
          <cell r="K16">
            <v>297416226</v>
          </cell>
          <cell r="L16">
            <v>643952869</v>
          </cell>
          <cell r="M16">
            <v>40</v>
          </cell>
          <cell r="AM16">
            <v>985.01599999999996</v>
          </cell>
          <cell r="AN16" t="str">
            <v>Morin Emmanuel</v>
          </cell>
          <cell r="AO16">
            <v>985.01599999999996</v>
          </cell>
          <cell r="AP16">
            <v>9</v>
          </cell>
          <cell r="AQ16">
            <v>3</v>
          </cell>
          <cell r="AR16">
            <v>0</v>
          </cell>
          <cell r="AU16" t="str">
            <v>Morin Emmanuel</v>
          </cell>
          <cell r="AV16" t="str">
            <v xml:space="preserve">morinmanu@orange.fr </v>
          </cell>
          <cell r="AW16" t="str">
            <v>x</v>
          </cell>
          <cell r="AX16" t="str">
            <v>Minime</v>
          </cell>
          <cell r="AY16">
            <v>42</v>
          </cell>
          <cell r="AZ16">
            <v>67</v>
          </cell>
          <cell r="BA16">
            <v>16</v>
          </cell>
          <cell r="BB16">
            <v>83</v>
          </cell>
          <cell r="BC16" t="b">
            <v>1</v>
          </cell>
          <cell r="BD16">
            <v>2</v>
          </cell>
          <cell r="BQ16">
            <v>0</v>
          </cell>
          <cell r="BR16" t="str">
            <v/>
          </cell>
        </row>
        <row r="17">
          <cell r="B17" t="str">
            <v>Vilain Benjamin</v>
          </cell>
          <cell r="C17" t="str">
            <v>Président</v>
          </cell>
          <cell r="D17" t="str">
            <v>5 rue des avocettes</v>
          </cell>
          <cell r="E17">
            <v>56190</v>
          </cell>
          <cell r="F17" t="str">
            <v>Vilai</v>
          </cell>
          <cell r="G17" t="str">
            <v>Muzillac</v>
          </cell>
          <cell r="H17" t="str">
            <v>V</v>
          </cell>
          <cell r="I17">
            <v>27112</v>
          </cell>
          <cell r="J17" t="str">
            <v>Vétéran</v>
          </cell>
          <cell r="K17">
            <v>297452868</v>
          </cell>
          <cell r="L17">
            <v>683566797</v>
          </cell>
          <cell r="M17">
            <v>41</v>
          </cell>
          <cell r="AM17">
            <v>904.01700000000005</v>
          </cell>
          <cell r="AN17" t="str">
            <v>Vilain Benjamin</v>
          </cell>
          <cell r="AO17">
            <v>904.01700000000005</v>
          </cell>
          <cell r="AP17">
            <v>9</v>
          </cell>
          <cell r="AQ17">
            <v>5</v>
          </cell>
          <cell r="AR17">
            <v>0</v>
          </cell>
          <cell r="AU17" t="str">
            <v>Vilain Benjamin</v>
          </cell>
          <cell r="AV17" t="str">
            <v>benjicath@wanadoo.fr</v>
          </cell>
          <cell r="AW17" t="str">
            <v>x</v>
          </cell>
          <cell r="AX17" t="str">
            <v>Cadet</v>
          </cell>
          <cell r="AY17">
            <v>42</v>
          </cell>
          <cell r="AZ17">
            <v>67</v>
          </cell>
          <cell r="BA17">
            <v>16</v>
          </cell>
          <cell r="BB17">
            <v>83</v>
          </cell>
          <cell r="BC17" t="b">
            <v>1</v>
          </cell>
          <cell r="BD17">
            <v>2</v>
          </cell>
          <cell r="BQ17">
            <v>0</v>
          </cell>
          <cell r="BR17" t="str">
            <v/>
          </cell>
        </row>
        <row r="18">
          <cell r="B18" t="str">
            <v/>
          </cell>
          <cell r="C18" t="str">
            <v>Joueur</v>
          </cell>
          <cell r="D18" t="str">
            <v/>
          </cell>
          <cell r="E18">
            <v>56190</v>
          </cell>
          <cell r="F18" t="str">
            <v/>
          </cell>
          <cell r="G18" t="str">
            <v/>
          </cell>
          <cell r="H18" t="str">
            <v>J</v>
          </cell>
          <cell r="I18">
            <v>36333</v>
          </cell>
          <cell r="J18" t="str">
            <v>Junior</v>
          </cell>
          <cell r="K18">
            <v>610386512</v>
          </cell>
          <cell r="L18">
            <v>620578232</v>
          </cell>
          <cell r="M18" t="str">
            <v/>
          </cell>
          <cell r="AM18">
            <v>0</v>
          </cell>
          <cell r="AN18" t="str">
            <v/>
          </cell>
          <cell r="AO18" t="str">
            <v/>
          </cell>
          <cell r="AP18" t="str">
            <v/>
          </cell>
          <cell r="AQ18" t="str">
            <v/>
          </cell>
          <cell r="AR18">
            <v>0</v>
          </cell>
          <cell r="AU18" t="str">
            <v/>
          </cell>
          <cell r="AV18">
            <v>0</v>
          </cell>
          <cell r="AW18">
            <v>0</v>
          </cell>
          <cell r="AX18" t="str">
            <v>Junior</v>
          </cell>
          <cell r="AY18">
            <v>52</v>
          </cell>
          <cell r="AZ18">
            <v>97</v>
          </cell>
          <cell r="BA18">
            <v>16</v>
          </cell>
          <cell r="BB18">
            <v>113</v>
          </cell>
          <cell r="BC18" t="str">
            <v/>
          </cell>
          <cell r="BD18">
            <v>2</v>
          </cell>
          <cell r="BQ18">
            <v>0</v>
          </cell>
          <cell r="BR18" t="str">
            <v/>
          </cell>
        </row>
        <row r="19">
          <cell r="B19" t="str">
            <v>Craineguy David</v>
          </cell>
          <cell r="C19" t="str">
            <v>Joueur</v>
          </cell>
          <cell r="D19" t="str">
            <v>3 impasse des noisetiers</v>
          </cell>
          <cell r="E19">
            <v>56130</v>
          </cell>
          <cell r="F19" t="str">
            <v>Crain</v>
          </cell>
          <cell r="G19" t="str">
            <v>Nivillac</v>
          </cell>
          <cell r="H19" t="str">
            <v>V</v>
          </cell>
          <cell r="I19">
            <v>26177</v>
          </cell>
          <cell r="J19" t="str">
            <v>Vétéran</v>
          </cell>
          <cell r="K19">
            <v>299908496</v>
          </cell>
          <cell r="L19">
            <v>660099423</v>
          </cell>
          <cell r="M19">
            <v>43</v>
          </cell>
          <cell r="AM19">
            <v>665.01900000000001</v>
          </cell>
          <cell r="AN19" t="str">
            <v>Craineguy David</v>
          </cell>
          <cell r="AO19">
            <v>665.01900000000001</v>
          </cell>
          <cell r="AP19">
            <v>6</v>
          </cell>
          <cell r="AQ19">
            <v>7</v>
          </cell>
          <cell r="AR19">
            <v>0</v>
          </cell>
          <cell r="AU19" t="str">
            <v>Craineguy David</v>
          </cell>
          <cell r="AV19" t="str">
            <v>david.craimeguy@wanadoo.fr</v>
          </cell>
          <cell r="AW19" t="str">
            <v>x</v>
          </cell>
          <cell r="AX19" t="str">
            <v>Sénior</v>
          </cell>
          <cell r="AY19">
            <v>52</v>
          </cell>
          <cell r="AZ19">
            <v>97</v>
          </cell>
          <cell r="BA19">
            <v>32</v>
          </cell>
          <cell r="BB19">
            <v>129</v>
          </cell>
          <cell r="BC19" t="b">
            <v>1</v>
          </cell>
          <cell r="BD19">
            <v>2</v>
          </cell>
          <cell r="BQ19">
            <v>0</v>
          </cell>
          <cell r="BR19" t="str">
            <v/>
          </cell>
        </row>
        <row r="20">
          <cell r="B20" t="str">
            <v>Ayoul-Bellot Thais</v>
          </cell>
          <cell r="C20" t="str">
            <v>Joueur</v>
          </cell>
          <cell r="D20" t="str">
            <v>14 rue de l'ancienne gare</v>
          </cell>
          <cell r="E20">
            <v>56190</v>
          </cell>
          <cell r="F20" t="str">
            <v>Ayoul</v>
          </cell>
          <cell r="G20" t="str">
            <v>Ambon</v>
          </cell>
          <cell r="H20" t="str">
            <v>C</v>
          </cell>
          <cell r="I20">
            <v>37047</v>
          </cell>
          <cell r="J20" t="str">
            <v>Cadet</v>
          </cell>
          <cell r="K20">
            <v>607230908</v>
          </cell>
          <cell r="L20">
            <v>0</v>
          </cell>
          <cell r="M20">
            <v>13</v>
          </cell>
          <cell r="AM20">
            <v>500.02409999999998</v>
          </cell>
          <cell r="AN20" t="str">
            <v>Ayoul-Bellot Thais</v>
          </cell>
          <cell r="AO20" t="str">
            <v/>
          </cell>
          <cell r="AP20">
            <v>5</v>
          </cell>
          <cell r="AQ20">
            <v>9</v>
          </cell>
          <cell r="AR20">
            <v>0</v>
          </cell>
          <cell r="AU20" t="str">
            <v>Ayoul-Bellot Thais</v>
          </cell>
          <cell r="AV20">
            <v>0</v>
          </cell>
          <cell r="AW20" t="str">
            <v>x</v>
          </cell>
          <cell r="AX20" t="str">
            <v>Vétéran</v>
          </cell>
          <cell r="AY20">
            <v>52</v>
          </cell>
          <cell r="AZ20">
            <v>97</v>
          </cell>
          <cell r="BA20">
            <v>32</v>
          </cell>
          <cell r="BB20">
            <v>129</v>
          </cell>
          <cell r="BC20" t="b">
            <v>1</v>
          </cell>
          <cell r="BD20">
            <v>1</v>
          </cell>
          <cell r="BQ20">
            <v>37047</v>
          </cell>
          <cell r="BR20" t="str">
            <v>Ayoul-Bellot Thais</v>
          </cell>
        </row>
        <row r="21">
          <cell r="B21" t="str">
            <v>Morin Quentin</v>
          </cell>
          <cell r="C21">
            <v>0</v>
          </cell>
          <cell r="D21" t="str">
            <v>impasse des églantiers</v>
          </cell>
          <cell r="E21">
            <v>56190</v>
          </cell>
          <cell r="F21" t="str">
            <v>Morin</v>
          </cell>
          <cell r="G21" t="str">
            <v>Muzillac</v>
          </cell>
          <cell r="H21" t="str">
            <v>C</v>
          </cell>
          <cell r="I21">
            <v>36826</v>
          </cell>
          <cell r="J21" t="str">
            <v>Cadet</v>
          </cell>
          <cell r="K21">
            <v>297416226</v>
          </cell>
          <cell r="L21">
            <v>643952869</v>
          </cell>
          <cell r="M21">
            <v>14</v>
          </cell>
          <cell r="AM21">
            <v>872.02200000000005</v>
          </cell>
          <cell r="AN21" t="str">
            <v>Morin Quentin</v>
          </cell>
          <cell r="AO21">
            <v>872.02200000000005</v>
          </cell>
          <cell r="AP21">
            <v>8</v>
          </cell>
          <cell r="AQ21">
            <v>2</v>
          </cell>
          <cell r="AR21" t="str">
            <v>x</v>
          </cell>
          <cell r="AU21" t="str">
            <v>Morin Quentin</v>
          </cell>
          <cell r="AV21">
            <v>0</v>
          </cell>
          <cell r="AW21" t="str">
            <v>x</v>
          </cell>
          <cell r="AX21" t="str">
            <v>extérieur</v>
          </cell>
          <cell r="AY21">
            <v>25</v>
          </cell>
          <cell r="AZ21">
            <v>40</v>
          </cell>
          <cell r="BA21">
            <v>0</v>
          </cell>
          <cell r="BB21">
            <v>0</v>
          </cell>
          <cell r="BC21" t="b">
            <v>1</v>
          </cell>
          <cell r="BD21">
            <v>2</v>
          </cell>
          <cell r="BQ21">
            <v>36826</v>
          </cell>
          <cell r="BR21" t="str">
            <v>Morin Quentin</v>
          </cell>
        </row>
        <row r="22">
          <cell r="B22" t="str">
            <v/>
          </cell>
          <cell r="C22" t="str">
            <v>Joueur</v>
          </cell>
          <cell r="D22" t="str">
            <v/>
          </cell>
          <cell r="E22">
            <v>56130</v>
          </cell>
          <cell r="F22" t="str">
            <v/>
          </cell>
          <cell r="G22" t="str">
            <v/>
          </cell>
          <cell r="H22" t="str">
            <v>J</v>
          </cell>
          <cell r="I22">
            <v>36270</v>
          </cell>
          <cell r="J22" t="str">
            <v>Junior</v>
          </cell>
          <cell r="K22">
            <v>0</v>
          </cell>
          <cell r="L22">
            <v>0</v>
          </cell>
          <cell r="M22" t="str">
            <v/>
          </cell>
          <cell r="AM22">
            <v>0</v>
          </cell>
          <cell r="AN22" t="str">
            <v/>
          </cell>
          <cell r="AO22" t="str">
            <v/>
          </cell>
          <cell r="AP22" t="str">
            <v/>
          </cell>
          <cell r="AQ22" t="str">
            <v/>
          </cell>
          <cell r="AR22">
            <v>0</v>
          </cell>
          <cell r="AU22" t="str">
            <v/>
          </cell>
          <cell r="AV22">
            <v>0</v>
          </cell>
          <cell r="AW22">
            <v>0</v>
          </cell>
          <cell r="AX22">
            <v>0</v>
          </cell>
          <cell r="AY22">
            <v>0</v>
          </cell>
          <cell r="AZ22">
            <v>0</v>
          </cell>
          <cell r="BA22">
            <v>0</v>
          </cell>
          <cell r="BB22">
            <v>0</v>
          </cell>
          <cell r="BC22" t="str">
            <v/>
          </cell>
          <cell r="BD22">
            <v>2</v>
          </cell>
          <cell r="BQ22">
            <v>0</v>
          </cell>
          <cell r="BR22" t="str">
            <v/>
          </cell>
        </row>
        <row r="23">
          <cell r="B23" t="str">
            <v/>
          </cell>
          <cell r="C23" t="str">
            <v>Joueur</v>
          </cell>
          <cell r="D23" t="str">
            <v/>
          </cell>
          <cell r="E23">
            <v>56860</v>
          </cell>
          <cell r="F23" t="str">
            <v/>
          </cell>
          <cell r="G23" t="str">
            <v/>
          </cell>
          <cell r="H23" t="str">
            <v>V</v>
          </cell>
          <cell r="I23">
            <v>19714</v>
          </cell>
          <cell r="J23" t="str">
            <v>Vétéran</v>
          </cell>
          <cell r="K23">
            <v>297660051</v>
          </cell>
          <cell r="L23">
            <v>687144037</v>
          </cell>
          <cell r="M23" t="str">
            <v/>
          </cell>
          <cell r="AM23">
            <v>0</v>
          </cell>
          <cell r="AN23" t="str">
            <v/>
          </cell>
          <cell r="AO23" t="str">
            <v/>
          </cell>
          <cell r="AP23" t="str">
            <v/>
          </cell>
          <cell r="AQ23" t="str">
            <v/>
          </cell>
          <cell r="AR23">
            <v>0</v>
          </cell>
          <cell r="AU23" t="str">
            <v/>
          </cell>
          <cell r="AV23" t="str">
            <v>benoitfroger@wanadoo.fr</v>
          </cell>
          <cell r="AW23">
            <v>0</v>
          </cell>
          <cell r="AX23">
            <v>0</v>
          </cell>
          <cell r="AY23">
            <v>0</v>
          </cell>
          <cell r="AZ23">
            <v>0</v>
          </cell>
          <cell r="BA23">
            <v>0</v>
          </cell>
          <cell r="BB23">
            <v>0</v>
          </cell>
          <cell r="BC23" t="str">
            <v/>
          </cell>
          <cell r="BD23">
            <v>2</v>
          </cell>
          <cell r="BQ23">
            <v>0</v>
          </cell>
          <cell r="BR23" t="str">
            <v/>
          </cell>
        </row>
        <row r="24">
          <cell r="B24" t="str">
            <v>Faulkner Thierry</v>
          </cell>
          <cell r="C24" t="str">
            <v>Joueur</v>
          </cell>
          <cell r="D24" t="str">
            <v>5 rue de la fontaine</v>
          </cell>
          <cell r="E24">
            <v>56450</v>
          </cell>
          <cell r="F24" t="str">
            <v>Faulk</v>
          </cell>
          <cell r="G24" t="str">
            <v>Surzur</v>
          </cell>
          <cell r="H24" t="str">
            <v>V</v>
          </cell>
          <cell r="I24">
            <v>23503</v>
          </cell>
          <cell r="J24" t="str">
            <v>Vétéran</v>
          </cell>
          <cell r="K24">
            <v>632385813</v>
          </cell>
          <cell r="L24">
            <v>677181094</v>
          </cell>
          <cell r="M24">
            <v>51</v>
          </cell>
          <cell r="AM24">
            <v>1347.0250000000001</v>
          </cell>
          <cell r="AN24" t="str">
            <v>Faulkner Thierry</v>
          </cell>
          <cell r="AO24">
            <v>1347.0250000000001</v>
          </cell>
          <cell r="AP24">
            <v>13</v>
          </cell>
          <cell r="AQ24">
            <v>9</v>
          </cell>
          <cell r="AR24">
            <v>0</v>
          </cell>
          <cell r="AU24" t="str">
            <v>Faulkner Thierry</v>
          </cell>
          <cell r="AV24">
            <v>0</v>
          </cell>
          <cell r="AW24" t="str">
            <v>x</v>
          </cell>
          <cell r="AX24">
            <v>0</v>
          </cell>
          <cell r="AY24">
            <v>0</v>
          </cell>
          <cell r="AZ24">
            <v>0</v>
          </cell>
          <cell r="BA24">
            <v>0</v>
          </cell>
          <cell r="BB24">
            <v>0</v>
          </cell>
          <cell r="BC24" t="b">
            <v>1</v>
          </cell>
          <cell r="BD24">
            <v>2</v>
          </cell>
          <cell r="BQ24">
            <v>0</v>
          </cell>
          <cell r="BR24" t="str">
            <v/>
          </cell>
        </row>
        <row r="25">
          <cell r="B25" t="str">
            <v/>
          </cell>
          <cell r="C25" t="str">
            <v>Joueur</v>
          </cell>
          <cell r="D25" t="str">
            <v/>
          </cell>
          <cell r="E25">
            <v>56130</v>
          </cell>
          <cell r="F25" t="str">
            <v/>
          </cell>
          <cell r="G25" t="str">
            <v/>
          </cell>
          <cell r="H25" t="str">
            <v>V</v>
          </cell>
          <cell r="I25">
            <v>24863</v>
          </cell>
          <cell r="J25" t="str">
            <v>Vétéran</v>
          </cell>
          <cell r="K25">
            <v>0</v>
          </cell>
          <cell r="L25">
            <v>621252936</v>
          </cell>
          <cell r="M25" t="str">
            <v/>
          </cell>
          <cell r="AM25">
            <v>0</v>
          </cell>
          <cell r="AN25" t="str">
            <v/>
          </cell>
          <cell r="AO25" t="str">
            <v/>
          </cell>
          <cell r="AP25" t="str">
            <v/>
          </cell>
          <cell r="AQ25" t="str">
            <v/>
          </cell>
          <cell r="AR25">
            <v>0</v>
          </cell>
          <cell r="AU25" t="str">
            <v/>
          </cell>
          <cell r="AV25">
            <v>0</v>
          </cell>
          <cell r="AW25">
            <v>0</v>
          </cell>
          <cell r="AX25">
            <v>0</v>
          </cell>
          <cell r="AY25">
            <v>0</v>
          </cell>
          <cell r="AZ25">
            <v>0</v>
          </cell>
          <cell r="BA25">
            <v>0</v>
          </cell>
          <cell r="BB25">
            <v>0</v>
          </cell>
          <cell r="BC25" t="str">
            <v/>
          </cell>
          <cell r="BD25">
            <v>2</v>
          </cell>
          <cell r="BQ25">
            <v>0</v>
          </cell>
          <cell r="BR25" t="str">
            <v/>
          </cell>
        </row>
        <row r="26">
          <cell r="B26" t="str">
            <v>Bousseau Louen</v>
          </cell>
          <cell r="C26" t="str">
            <v>Joueur</v>
          </cell>
          <cell r="D26" t="str">
            <v>9,impasse de l'église Saint Cry</v>
          </cell>
          <cell r="E26">
            <v>56130</v>
          </cell>
          <cell r="F26" t="str">
            <v>Bouss</v>
          </cell>
          <cell r="G26" t="str">
            <v>Nivillac</v>
          </cell>
          <cell r="H26" t="str">
            <v>M</v>
          </cell>
          <cell r="I26">
            <v>37365</v>
          </cell>
          <cell r="J26" t="str">
            <v>Minime</v>
          </cell>
          <cell r="K26">
            <v>223101232</v>
          </cell>
          <cell r="L26">
            <v>663242590</v>
          </cell>
          <cell r="M26">
            <v>13</v>
          </cell>
          <cell r="AM26">
            <v>0</v>
          </cell>
          <cell r="AN26" t="str">
            <v>Bousseau Louen</v>
          </cell>
          <cell r="AO26" t="str">
            <v/>
          </cell>
          <cell r="AP26" t="str">
            <v/>
          </cell>
          <cell r="AQ26" t="str">
            <v/>
          </cell>
          <cell r="AR26">
            <v>0</v>
          </cell>
          <cell r="AU26" t="str">
            <v>Bousseau Louen</v>
          </cell>
          <cell r="AV26">
            <v>0</v>
          </cell>
          <cell r="AW26" t="str">
            <v>x</v>
          </cell>
          <cell r="AX26">
            <v>0</v>
          </cell>
          <cell r="AY26">
            <v>0</v>
          </cell>
          <cell r="AZ26">
            <v>0</v>
          </cell>
          <cell r="BA26">
            <v>0</v>
          </cell>
          <cell r="BB26">
            <v>0</v>
          </cell>
          <cell r="BC26" t="str">
            <v/>
          </cell>
          <cell r="BD26">
            <v>2</v>
          </cell>
          <cell r="BQ26">
            <v>0</v>
          </cell>
          <cell r="BR26" t="str">
            <v/>
          </cell>
        </row>
        <row r="27">
          <cell r="B27" t="str">
            <v>Mierzwa  Emmanuel</v>
          </cell>
          <cell r="C27" t="str">
            <v>Joueur</v>
          </cell>
          <cell r="D27" t="str">
            <v>Le Maguéro</v>
          </cell>
          <cell r="E27">
            <v>56190</v>
          </cell>
          <cell r="F27" t="str">
            <v>Mierz</v>
          </cell>
          <cell r="G27" t="str">
            <v>Noyal muzillac</v>
          </cell>
          <cell r="H27" t="str">
            <v>C</v>
          </cell>
          <cell r="I27">
            <v>37168</v>
          </cell>
          <cell r="J27" t="str">
            <v>Cadet</v>
          </cell>
          <cell r="K27">
            <v>297415529</v>
          </cell>
          <cell r="L27">
            <v>0</v>
          </cell>
          <cell r="M27">
            <v>13</v>
          </cell>
          <cell r="AM27">
            <v>0</v>
          </cell>
          <cell r="AN27" t="str">
            <v>Mierzwa  Emmanuel</v>
          </cell>
          <cell r="AO27" t="str">
            <v/>
          </cell>
          <cell r="AP27" t="str">
            <v/>
          </cell>
          <cell r="AQ27" t="str">
            <v/>
          </cell>
          <cell r="AR27">
            <v>0</v>
          </cell>
          <cell r="AU27" t="str">
            <v>Mierzwa  Emmanuel</v>
          </cell>
          <cell r="AV27" t="str">
            <v>jean-jacques.mierzwa@laposte.net</v>
          </cell>
          <cell r="AW27" t="str">
            <v>x</v>
          </cell>
          <cell r="AX27">
            <v>0</v>
          </cell>
          <cell r="AY27">
            <v>0</v>
          </cell>
          <cell r="AZ27">
            <v>0</v>
          </cell>
          <cell r="BA27">
            <v>0</v>
          </cell>
          <cell r="BB27">
            <v>0</v>
          </cell>
          <cell r="BC27" t="str">
            <v/>
          </cell>
          <cell r="BD27">
            <v>2</v>
          </cell>
          <cell r="BQ27">
            <v>0</v>
          </cell>
          <cell r="BR27" t="str">
            <v/>
          </cell>
        </row>
        <row r="28">
          <cell r="B28" t="str">
            <v>Guillotin Marie-Paule</v>
          </cell>
          <cell r="C28" t="str">
            <v>Vice président</v>
          </cell>
          <cell r="D28" t="str">
            <v>5 rue de péaule</v>
          </cell>
          <cell r="E28">
            <v>56190</v>
          </cell>
          <cell r="F28" t="str">
            <v>Guill</v>
          </cell>
          <cell r="G28" t="str">
            <v>Muzillac</v>
          </cell>
          <cell r="H28" t="str">
            <v>V</v>
          </cell>
          <cell r="I28">
            <v>16833.000003442616</v>
          </cell>
          <cell r="J28" t="str">
            <v>Vétéran</v>
          </cell>
          <cell r="K28" t="str">
            <v>02.97.41.60.22</v>
          </cell>
          <cell r="L28">
            <v>0</v>
          </cell>
          <cell r="M28">
            <v>69</v>
          </cell>
          <cell r="AM28">
            <v>633.029</v>
          </cell>
          <cell r="AN28" t="str">
            <v>Guillotin Marie-Paule</v>
          </cell>
          <cell r="AO28" t="str">
            <v/>
          </cell>
          <cell r="AP28">
            <v>6</v>
          </cell>
          <cell r="AQ28">
            <v>8</v>
          </cell>
          <cell r="AR28">
            <v>0</v>
          </cell>
          <cell r="AU28" t="str">
            <v>Guillotin Marie-Paule</v>
          </cell>
          <cell r="AV28" t="str">
            <v>guy.guillotin@orange.fr</v>
          </cell>
          <cell r="AW28" t="str">
            <v>x</v>
          </cell>
          <cell r="AX28">
            <v>0</v>
          </cell>
          <cell r="AY28">
            <v>0</v>
          </cell>
          <cell r="AZ28">
            <v>0</v>
          </cell>
          <cell r="BA28">
            <v>0</v>
          </cell>
          <cell r="BB28">
            <v>0</v>
          </cell>
          <cell r="BC28" t="b">
            <v>1</v>
          </cell>
          <cell r="BD28">
            <v>1</v>
          </cell>
          <cell r="BQ28">
            <v>0</v>
          </cell>
          <cell r="BR28" t="str">
            <v/>
          </cell>
        </row>
        <row r="29">
          <cell r="B29" t="str">
            <v>Rochefort Reginald</v>
          </cell>
          <cell r="C29" t="str">
            <v>Joueur</v>
          </cell>
          <cell r="D29" t="str">
            <v>20 avenue Aristide Briand</v>
          </cell>
          <cell r="E29">
            <v>56750</v>
          </cell>
          <cell r="F29" t="str">
            <v>Roche</v>
          </cell>
          <cell r="G29" t="str">
            <v>Damgan</v>
          </cell>
          <cell r="H29" t="str">
            <v>S</v>
          </cell>
          <cell r="I29">
            <v>31476</v>
          </cell>
          <cell r="J29" t="str">
            <v>Sénior</v>
          </cell>
          <cell r="K29">
            <v>622267162</v>
          </cell>
          <cell r="L29">
            <v>0</v>
          </cell>
          <cell r="M29">
            <v>29</v>
          </cell>
          <cell r="AM29">
            <v>850.03099999999995</v>
          </cell>
          <cell r="AN29" t="str">
            <v>Rochefort Reginald</v>
          </cell>
          <cell r="AO29">
            <v>850.03099999999995</v>
          </cell>
          <cell r="AP29">
            <v>8</v>
          </cell>
          <cell r="AQ29">
            <v>4</v>
          </cell>
          <cell r="AR29">
            <v>0</v>
          </cell>
          <cell r="AU29" t="str">
            <v>Rochefort Reginald</v>
          </cell>
          <cell r="AV29" t="str">
            <v>reg56@hotmail.fr</v>
          </cell>
          <cell r="AW29" t="str">
            <v>x</v>
          </cell>
          <cell r="AX29">
            <v>0</v>
          </cell>
          <cell r="AY29">
            <v>0</v>
          </cell>
          <cell r="AZ29">
            <v>0</v>
          </cell>
          <cell r="BA29">
            <v>0</v>
          </cell>
          <cell r="BB29">
            <v>0</v>
          </cell>
          <cell r="BC29" t="b">
            <v>1</v>
          </cell>
          <cell r="BD29">
            <v>2</v>
          </cell>
          <cell r="BQ29">
            <v>0</v>
          </cell>
          <cell r="BR29" t="str">
            <v/>
          </cell>
        </row>
        <row r="30">
          <cell r="B30" t="str">
            <v>Hubert Bruno</v>
          </cell>
          <cell r="C30">
            <v>0</v>
          </cell>
          <cell r="D30" t="str">
            <v>12 rue des bruyères</v>
          </cell>
          <cell r="E30">
            <v>56190</v>
          </cell>
          <cell r="F30" t="str">
            <v>Huber</v>
          </cell>
          <cell r="G30" t="str">
            <v>Muzillac</v>
          </cell>
          <cell r="H30" t="str">
            <v>V</v>
          </cell>
          <cell r="I30">
            <v>23318</v>
          </cell>
          <cell r="J30" t="str">
            <v>Vétéran</v>
          </cell>
          <cell r="K30" t="str">
            <v>02.97.41.67.39</v>
          </cell>
          <cell r="L30">
            <v>676743659</v>
          </cell>
          <cell r="M30">
            <v>51</v>
          </cell>
          <cell r="AM30">
            <v>0</v>
          </cell>
          <cell r="AN30" t="str">
            <v>Hubert Bruno</v>
          </cell>
          <cell r="AO30" t="str">
            <v/>
          </cell>
          <cell r="AP30" t="str">
            <v/>
          </cell>
          <cell r="AQ30" t="str">
            <v/>
          </cell>
          <cell r="AR30">
            <v>0</v>
          </cell>
          <cell r="AU30" t="str">
            <v>Hubert Bruno</v>
          </cell>
          <cell r="AV30" t="str">
            <v>bruno.hubert@wanadoo.fr</v>
          </cell>
          <cell r="AW30">
            <v>0</v>
          </cell>
          <cell r="AX30">
            <v>0</v>
          </cell>
          <cell r="AY30">
            <v>0</v>
          </cell>
          <cell r="AZ30">
            <v>0</v>
          </cell>
          <cell r="BA30">
            <v>0</v>
          </cell>
          <cell r="BB30">
            <v>0</v>
          </cell>
          <cell r="BC30" t="str">
            <v/>
          </cell>
          <cell r="BD30">
            <v>2</v>
          </cell>
          <cell r="BQ30">
            <v>0</v>
          </cell>
          <cell r="BR30" t="str">
            <v/>
          </cell>
        </row>
        <row r="31">
          <cell r="B31" t="str">
            <v>Vilain Clément</v>
          </cell>
          <cell r="C31" t="str">
            <v>Joueur</v>
          </cell>
          <cell r="D31" t="str">
            <v>5 rue des Avocettes</v>
          </cell>
          <cell r="E31">
            <v>56190</v>
          </cell>
          <cell r="F31" t="str">
            <v>Vilai</v>
          </cell>
          <cell r="G31" t="str">
            <v>Muzillac</v>
          </cell>
          <cell r="H31" t="str">
            <v>B</v>
          </cell>
          <cell r="I31">
            <v>38613</v>
          </cell>
          <cell r="J31" t="str">
            <v>Benjamin</v>
          </cell>
          <cell r="K31">
            <v>297452868</v>
          </cell>
          <cell r="L31">
            <v>0</v>
          </cell>
          <cell r="M31">
            <v>9</v>
          </cell>
          <cell r="AM31">
            <v>0</v>
          </cell>
          <cell r="AN31" t="str">
            <v>Vilain Clément</v>
          </cell>
          <cell r="AO31" t="str">
            <v/>
          </cell>
          <cell r="AP31" t="str">
            <v/>
          </cell>
          <cell r="AQ31" t="str">
            <v/>
          </cell>
          <cell r="AR31">
            <v>0</v>
          </cell>
          <cell r="AU31" t="str">
            <v>Vilain Clément</v>
          </cell>
          <cell r="AV31">
            <v>0</v>
          </cell>
          <cell r="AW31" t="str">
            <v>x</v>
          </cell>
          <cell r="AX31">
            <v>0</v>
          </cell>
          <cell r="AY31">
            <v>0</v>
          </cell>
          <cell r="AZ31">
            <v>0</v>
          </cell>
          <cell r="BA31">
            <v>0</v>
          </cell>
          <cell r="BB31">
            <v>0</v>
          </cell>
          <cell r="BC31" t="str">
            <v/>
          </cell>
          <cell r="BD31">
            <v>2</v>
          </cell>
          <cell r="BQ31">
            <v>0</v>
          </cell>
          <cell r="BR31" t="str">
            <v/>
          </cell>
        </row>
        <row r="32">
          <cell r="B32" t="str">
            <v>Jugé Léana</v>
          </cell>
          <cell r="C32" t="str">
            <v>Joueur</v>
          </cell>
          <cell r="D32" t="str">
            <v>8 route de la mer</v>
          </cell>
          <cell r="E32">
            <v>56190</v>
          </cell>
          <cell r="F32" t="str">
            <v xml:space="preserve">Jugé </v>
          </cell>
          <cell r="G32" t="str">
            <v>Billiers</v>
          </cell>
          <cell r="H32" t="str">
            <v>J</v>
          </cell>
          <cell r="I32">
            <v>35845</v>
          </cell>
          <cell r="J32" t="str">
            <v>Junior</v>
          </cell>
          <cell r="K32" t="str">
            <v>02 97 41 40 84</v>
          </cell>
          <cell r="L32">
            <v>695084029</v>
          </cell>
          <cell r="M32">
            <v>17</v>
          </cell>
          <cell r="AM32">
            <v>536.03399999999999</v>
          </cell>
          <cell r="AN32" t="str">
            <v>Jugé Léana</v>
          </cell>
          <cell r="AO32" t="str">
            <v/>
          </cell>
          <cell r="AP32">
            <v>5</v>
          </cell>
          <cell r="AQ32">
            <v>8</v>
          </cell>
          <cell r="AR32">
            <v>0</v>
          </cell>
          <cell r="AU32" t="str">
            <v>Jugé Léana</v>
          </cell>
          <cell r="AV32" t="str">
            <v>leanajuju56@hotmail.fr</v>
          </cell>
          <cell r="AW32" t="str">
            <v>x</v>
          </cell>
          <cell r="AX32">
            <v>0</v>
          </cell>
          <cell r="AY32">
            <v>0</v>
          </cell>
          <cell r="AZ32">
            <v>0</v>
          </cell>
          <cell r="BA32">
            <v>0</v>
          </cell>
          <cell r="BB32">
            <v>0</v>
          </cell>
          <cell r="BC32" t="b">
            <v>1</v>
          </cell>
          <cell r="BD32">
            <v>1</v>
          </cell>
          <cell r="BQ32">
            <v>35845</v>
          </cell>
          <cell r="BR32" t="str">
            <v>Jugé Léana</v>
          </cell>
        </row>
        <row r="33">
          <cell r="B33" t="str">
            <v>Sail Rémy</v>
          </cell>
          <cell r="C33" t="str">
            <v>Joueur</v>
          </cell>
          <cell r="D33" t="str">
            <v>5 rue Georges Brassens</v>
          </cell>
          <cell r="E33">
            <v>56190</v>
          </cell>
          <cell r="F33" t="str">
            <v xml:space="preserve">Sail </v>
          </cell>
          <cell r="G33" t="str">
            <v>Muzillac</v>
          </cell>
          <cell r="H33" t="str">
            <v>M</v>
          </cell>
          <cell r="I33">
            <v>37340.1</v>
          </cell>
          <cell r="J33" t="str">
            <v>Minime</v>
          </cell>
          <cell r="K33" t="str">
            <v>06 03 54 67 15</v>
          </cell>
          <cell r="L33">
            <v>0</v>
          </cell>
          <cell r="M33">
            <v>13</v>
          </cell>
          <cell r="AM33">
            <v>686.03499999999997</v>
          </cell>
          <cell r="AN33" t="str">
            <v>Sail Rémy</v>
          </cell>
          <cell r="AO33">
            <v>686.03499999999997</v>
          </cell>
          <cell r="AP33">
            <v>6</v>
          </cell>
          <cell r="AQ33">
            <v>7</v>
          </cell>
          <cell r="AR33" t="str">
            <v>x</v>
          </cell>
          <cell r="AU33" t="str">
            <v>Sail Rémy</v>
          </cell>
          <cell r="AV33" t="str">
            <v>tsail@wanadoo.fr</v>
          </cell>
          <cell r="AW33" t="str">
            <v>x</v>
          </cell>
          <cell r="AX33">
            <v>0</v>
          </cell>
          <cell r="AY33">
            <v>0</v>
          </cell>
          <cell r="AZ33">
            <v>0</v>
          </cell>
          <cell r="BA33">
            <v>0</v>
          </cell>
          <cell r="BB33">
            <v>0</v>
          </cell>
          <cell r="BC33" t="b">
            <v>1</v>
          </cell>
          <cell r="BD33">
            <v>2</v>
          </cell>
          <cell r="BQ33">
            <v>37340.1</v>
          </cell>
          <cell r="BR33" t="str">
            <v>Sail Rémy</v>
          </cell>
        </row>
        <row r="34">
          <cell r="B34" t="str">
            <v>Sail Anthony</v>
          </cell>
          <cell r="C34" t="str">
            <v>Joueur</v>
          </cell>
          <cell r="D34" t="str">
            <v>5 rue Georges Brassens</v>
          </cell>
          <cell r="E34">
            <v>56190</v>
          </cell>
          <cell r="F34" t="str">
            <v xml:space="preserve">Sail </v>
          </cell>
          <cell r="G34" t="str">
            <v>Muzillac</v>
          </cell>
          <cell r="H34" t="str">
            <v>S</v>
          </cell>
          <cell r="I34">
            <v>34535</v>
          </cell>
          <cell r="J34" t="str">
            <v>Sénior</v>
          </cell>
          <cell r="K34">
            <v>619254485</v>
          </cell>
          <cell r="L34">
            <v>0</v>
          </cell>
          <cell r="M34">
            <v>20</v>
          </cell>
          <cell r="AM34">
            <v>499.83600000000001</v>
          </cell>
          <cell r="AN34" t="str">
            <v>Sail Anthony</v>
          </cell>
          <cell r="AO34">
            <v>499.83600000000001</v>
          </cell>
          <cell r="AP34" t="str">
            <v>NC</v>
          </cell>
          <cell r="AQ34">
            <v>8</v>
          </cell>
          <cell r="AR34">
            <v>0</v>
          </cell>
          <cell r="AU34" t="str">
            <v>Sail Anthony</v>
          </cell>
          <cell r="AV34">
            <v>0</v>
          </cell>
          <cell r="AW34" t="str">
            <v>x</v>
          </cell>
          <cell r="AX34">
            <v>0</v>
          </cell>
          <cell r="AY34">
            <v>0</v>
          </cell>
          <cell r="AZ34">
            <v>0</v>
          </cell>
          <cell r="BA34">
            <v>0</v>
          </cell>
          <cell r="BB34">
            <v>0</v>
          </cell>
          <cell r="BC34" t="b">
            <v>1</v>
          </cell>
          <cell r="BD34">
            <v>2</v>
          </cell>
          <cell r="BQ34">
            <v>0</v>
          </cell>
          <cell r="BR34" t="str">
            <v/>
          </cell>
        </row>
        <row r="35">
          <cell r="B35" t="str">
            <v>Unique-Colin Emma</v>
          </cell>
          <cell r="C35" t="str">
            <v>Joueur</v>
          </cell>
          <cell r="D35" t="str">
            <v>24 rue de l'abbé noury</v>
          </cell>
          <cell r="E35">
            <v>56190</v>
          </cell>
          <cell r="F35" t="str">
            <v>Uniqu</v>
          </cell>
          <cell r="G35" t="str">
            <v>Lauzach</v>
          </cell>
          <cell r="H35" t="str">
            <v>B</v>
          </cell>
          <cell r="I35">
            <v>38266</v>
          </cell>
          <cell r="J35" t="str">
            <v>Benjamin</v>
          </cell>
          <cell r="K35">
            <v>667469688</v>
          </cell>
          <cell r="L35">
            <v>0</v>
          </cell>
          <cell r="M35">
            <v>10</v>
          </cell>
          <cell r="AM35">
            <v>0</v>
          </cell>
          <cell r="AN35" t="str">
            <v>Unique-Colin Emma</v>
          </cell>
          <cell r="AO35" t="str">
            <v/>
          </cell>
          <cell r="AP35" t="str">
            <v/>
          </cell>
          <cell r="AQ35" t="str">
            <v/>
          </cell>
          <cell r="AR35">
            <v>0</v>
          </cell>
          <cell r="AU35" t="str">
            <v>Unique-Colin Emma</v>
          </cell>
          <cell r="AV35">
            <v>0</v>
          </cell>
          <cell r="AW35">
            <v>0</v>
          </cell>
          <cell r="AX35">
            <v>0</v>
          </cell>
          <cell r="AY35">
            <v>0</v>
          </cell>
          <cell r="AZ35">
            <v>0</v>
          </cell>
          <cell r="BA35">
            <v>0</v>
          </cell>
          <cell r="BB35">
            <v>0</v>
          </cell>
          <cell r="BC35" t="str">
            <v/>
          </cell>
          <cell r="BD35">
            <v>1</v>
          </cell>
          <cell r="BQ35">
            <v>0</v>
          </cell>
          <cell r="BR35" t="str">
            <v/>
          </cell>
        </row>
        <row r="36">
          <cell r="B36" t="str">
            <v/>
          </cell>
          <cell r="C36" t="str">
            <v>Joueur</v>
          </cell>
          <cell r="D36" t="str">
            <v/>
          </cell>
          <cell r="E36">
            <v>56190</v>
          </cell>
          <cell r="F36" t="str">
            <v/>
          </cell>
          <cell r="G36" t="str">
            <v/>
          </cell>
          <cell r="H36" t="str">
            <v>C</v>
          </cell>
          <cell r="I36">
            <v>36724</v>
          </cell>
          <cell r="J36" t="str">
            <v>Cadet</v>
          </cell>
          <cell r="K36">
            <v>297414954</v>
          </cell>
          <cell r="L36">
            <v>618146034</v>
          </cell>
          <cell r="M36" t="str">
            <v/>
          </cell>
          <cell r="AM36">
            <v>0</v>
          </cell>
          <cell r="AN36" t="str">
            <v/>
          </cell>
          <cell r="AO36" t="str">
            <v/>
          </cell>
          <cell r="AP36" t="str">
            <v/>
          </cell>
          <cell r="AQ36" t="str">
            <v/>
          </cell>
          <cell r="AR36">
            <v>0</v>
          </cell>
          <cell r="AU36" t="str">
            <v/>
          </cell>
          <cell r="AV36" t="str">
            <v>franck-galudec@orange.fr</v>
          </cell>
          <cell r="AW36">
            <v>0</v>
          </cell>
          <cell r="AX36">
            <v>0</v>
          </cell>
          <cell r="AY36">
            <v>0</v>
          </cell>
          <cell r="AZ36">
            <v>0</v>
          </cell>
          <cell r="BA36">
            <v>0</v>
          </cell>
          <cell r="BB36">
            <v>0</v>
          </cell>
          <cell r="BC36" t="str">
            <v/>
          </cell>
          <cell r="BD36">
            <v>2</v>
          </cell>
          <cell r="BQ36">
            <v>0</v>
          </cell>
          <cell r="BR36" t="str">
            <v/>
          </cell>
        </row>
        <row r="37">
          <cell r="B37" t="str">
            <v/>
          </cell>
          <cell r="C37" t="str">
            <v>Joueur</v>
          </cell>
          <cell r="D37" t="str">
            <v/>
          </cell>
          <cell r="E37">
            <v>56450</v>
          </cell>
          <cell r="F37" t="str">
            <v/>
          </cell>
          <cell r="G37" t="str">
            <v/>
          </cell>
          <cell r="H37" t="str">
            <v>V</v>
          </cell>
          <cell r="I37">
            <v>19706</v>
          </cell>
          <cell r="J37" t="str">
            <v>Vétéran</v>
          </cell>
          <cell r="K37">
            <v>676964919</v>
          </cell>
          <cell r="L37">
            <v>0</v>
          </cell>
          <cell r="M37" t="str">
            <v/>
          </cell>
          <cell r="AM37">
            <v>0</v>
          </cell>
          <cell r="AN37" t="str">
            <v/>
          </cell>
          <cell r="AO37" t="str">
            <v/>
          </cell>
          <cell r="AP37" t="str">
            <v/>
          </cell>
          <cell r="AQ37" t="str">
            <v/>
          </cell>
          <cell r="AR37">
            <v>0</v>
          </cell>
          <cell r="AU37" t="str">
            <v/>
          </cell>
          <cell r="AV37" t="str">
            <v>christianhueber@hotmail.com</v>
          </cell>
          <cell r="AW37">
            <v>0</v>
          </cell>
          <cell r="AX37">
            <v>0</v>
          </cell>
          <cell r="AY37">
            <v>0</v>
          </cell>
          <cell r="AZ37">
            <v>0</v>
          </cell>
          <cell r="BA37">
            <v>0</v>
          </cell>
          <cell r="BB37">
            <v>0</v>
          </cell>
          <cell r="BC37" t="str">
            <v/>
          </cell>
          <cell r="BD37">
            <v>2</v>
          </cell>
          <cell r="BQ37">
            <v>0</v>
          </cell>
          <cell r="BR37" t="str">
            <v/>
          </cell>
        </row>
        <row r="38">
          <cell r="B38" t="str">
            <v/>
          </cell>
          <cell r="C38" t="str">
            <v>Joueur</v>
          </cell>
          <cell r="D38" t="str">
            <v/>
          </cell>
          <cell r="E38">
            <v>56190</v>
          </cell>
          <cell r="F38" t="str">
            <v/>
          </cell>
          <cell r="G38" t="str">
            <v/>
          </cell>
          <cell r="H38" t="str">
            <v>P</v>
          </cell>
          <cell r="I38">
            <v>39022</v>
          </cell>
          <cell r="J38" t="str">
            <v>Poussin</v>
          </cell>
          <cell r="K38">
            <v>667469688</v>
          </cell>
          <cell r="L38">
            <v>0</v>
          </cell>
          <cell r="M38" t="str">
            <v/>
          </cell>
          <cell r="AM38">
            <v>0</v>
          </cell>
          <cell r="AN38" t="str">
            <v/>
          </cell>
          <cell r="AO38" t="str">
            <v/>
          </cell>
          <cell r="AP38" t="str">
            <v/>
          </cell>
          <cell r="AQ38" t="str">
            <v/>
          </cell>
          <cell r="AR38">
            <v>0</v>
          </cell>
          <cell r="AU38" t="str">
            <v/>
          </cell>
          <cell r="AV38" t="str">
            <v>veronique.colin@gmail.com</v>
          </cell>
          <cell r="AW38">
            <v>0</v>
          </cell>
          <cell r="AX38">
            <v>0</v>
          </cell>
          <cell r="AY38">
            <v>0</v>
          </cell>
          <cell r="AZ38">
            <v>0</v>
          </cell>
          <cell r="BA38">
            <v>0</v>
          </cell>
          <cell r="BB38">
            <v>0</v>
          </cell>
          <cell r="BC38" t="str">
            <v/>
          </cell>
          <cell r="BD38">
            <v>2</v>
          </cell>
          <cell r="BQ38">
            <v>0</v>
          </cell>
          <cell r="BR38" t="str">
            <v/>
          </cell>
        </row>
        <row r="39">
          <cell r="B39" t="str">
            <v>Damour Mael</v>
          </cell>
          <cell r="C39" t="str">
            <v>Joueur</v>
          </cell>
          <cell r="D39" t="str">
            <v>7 le prinhuël</v>
          </cell>
          <cell r="E39">
            <v>56190</v>
          </cell>
          <cell r="F39" t="str">
            <v>Damou</v>
          </cell>
          <cell r="G39" t="str">
            <v>Ambon</v>
          </cell>
          <cell r="H39" t="str">
            <v>B</v>
          </cell>
          <cell r="I39">
            <v>38315</v>
          </cell>
          <cell r="J39" t="str">
            <v>Benjamin</v>
          </cell>
          <cell r="K39">
            <v>297481206</v>
          </cell>
          <cell r="L39">
            <v>646305411</v>
          </cell>
          <cell r="M39">
            <v>10</v>
          </cell>
          <cell r="AM39">
            <v>0</v>
          </cell>
          <cell r="AN39" t="str">
            <v>Damour Mael</v>
          </cell>
          <cell r="AO39" t="str">
            <v/>
          </cell>
          <cell r="AP39" t="str">
            <v/>
          </cell>
          <cell r="AQ39" t="str">
            <v/>
          </cell>
          <cell r="AR39">
            <v>0</v>
          </cell>
          <cell r="AU39" t="str">
            <v>Damour Mael</v>
          </cell>
          <cell r="AV39" t="str">
            <v>agnes.fortier56@orange.fr</v>
          </cell>
          <cell r="AW39" t="str">
            <v>x</v>
          </cell>
          <cell r="AX39">
            <v>0</v>
          </cell>
          <cell r="AY39">
            <v>0</v>
          </cell>
          <cell r="AZ39">
            <v>0</v>
          </cell>
          <cell r="BA39">
            <v>0</v>
          </cell>
          <cell r="BB39">
            <v>0</v>
          </cell>
          <cell r="BC39" t="str">
            <v/>
          </cell>
          <cell r="BD39">
            <v>2</v>
          </cell>
          <cell r="BQ39">
            <v>0</v>
          </cell>
          <cell r="BR39" t="str">
            <v/>
          </cell>
        </row>
        <row r="40">
          <cell r="B40" t="str">
            <v>Beyl Yann</v>
          </cell>
          <cell r="C40" t="str">
            <v>Joueur</v>
          </cell>
          <cell r="D40" t="str">
            <v>5 rue de roscoët</v>
          </cell>
          <cell r="E40">
            <v>56250</v>
          </cell>
          <cell r="F40" t="str">
            <v xml:space="preserve">Beyl </v>
          </cell>
          <cell r="G40" t="str">
            <v>Trefflean</v>
          </cell>
          <cell r="H40" t="str">
            <v>S</v>
          </cell>
          <cell r="I40">
            <v>34198</v>
          </cell>
          <cell r="J40" t="str">
            <v>Sénior</v>
          </cell>
          <cell r="K40">
            <v>297531357</v>
          </cell>
          <cell r="L40">
            <v>648086972</v>
          </cell>
          <cell r="M40">
            <v>21</v>
          </cell>
          <cell r="AM40">
            <v>1744.0429999999999</v>
          </cell>
          <cell r="AN40" t="str">
            <v>Beyl Yann</v>
          </cell>
          <cell r="AO40">
            <v>1744.0429999999999</v>
          </cell>
          <cell r="AP40">
            <v>17</v>
          </cell>
          <cell r="AQ40">
            <v>1</v>
          </cell>
          <cell r="AR40">
            <v>0</v>
          </cell>
          <cell r="AU40" t="str">
            <v>Beyl Yann</v>
          </cell>
          <cell r="AV40" t="str">
            <v>beyl.yann@live.fr</v>
          </cell>
          <cell r="AW40" t="str">
            <v>x</v>
          </cell>
          <cell r="AX40">
            <v>0</v>
          </cell>
          <cell r="AY40">
            <v>0</v>
          </cell>
          <cell r="AZ40">
            <v>0</v>
          </cell>
          <cell r="BA40">
            <v>0</v>
          </cell>
          <cell r="BB40">
            <v>0</v>
          </cell>
          <cell r="BC40" t="b">
            <v>1</v>
          </cell>
          <cell r="BD40">
            <v>2</v>
          </cell>
          <cell r="BQ40">
            <v>0</v>
          </cell>
          <cell r="BR40" t="str">
            <v/>
          </cell>
        </row>
        <row r="41">
          <cell r="B41" t="str">
            <v/>
          </cell>
          <cell r="C41" t="str">
            <v>Joueur</v>
          </cell>
          <cell r="D41" t="str">
            <v/>
          </cell>
          <cell r="E41">
            <v>56190</v>
          </cell>
          <cell r="F41" t="str">
            <v/>
          </cell>
          <cell r="G41" t="str">
            <v/>
          </cell>
          <cell r="H41" t="str">
            <v>C</v>
          </cell>
          <cell r="I41">
            <v>36595</v>
          </cell>
          <cell r="J41" t="str">
            <v>Cadet</v>
          </cell>
          <cell r="K41">
            <v>297415120</v>
          </cell>
          <cell r="L41">
            <v>0</v>
          </cell>
          <cell r="M41" t="str">
            <v/>
          </cell>
          <cell r="AM41">
            <v>0</v>
          </cell>
          <cell r="AN41" t="str">
            <v/>
          </cell>
          <cell r="AO41" t="str">
            <v/>
          </cell>
          <cell r="AP41" t="str">
            <v/>
          </cell>
          <cell r="AQ41" t="str">
            <v/>
          </cell>
          <cell r="AR41">
            <v>0</v>
          </cell>
          <cell r="AU41" t="str">
            <v/>
          </cell>
          <cell r="AV41">
            <v>0</v>
          </cell>
          <cell r="AW41">
            <v>0</v>
          </cell>
          <cell r="AX41">
            <v>0</v>
          </cell>
          <cell r="AY41">
            <v>0</v>
          </cell>
          <cell r="AZ41">
            <v>0</v>
          </cell>
          <cell r="BA41">
            <v>0</v>
          </cell>
          <cell r="BB41">
            <v>0</v>
          </cell>
          <cell r="BC41" t="str">
            <v/>
          </cell>
          <cell r="BD41">
            <v>2</v>
          </cell>
          <cell r="BQ41">
            <v>0</v>
          </cell>
          <cell r="BR41" t="str">
            <v/>
          </cell>
        </row>
        <row r="42">
          <cell r="B42" t="str">
            <v>Martinez-Jacq Erwann</v>
          </cell>
          <cell r="C42" t="str">
            <v>Joueur</v>
          </cell>
          <cell r="D42" t="str">
            <v>Billion route de Surzur</v>
          </cell>
          <cell r="E42">
            <v>56190</v>
          </cell>
          <cell r="F42" t="str">
            <v>Marti</v>
          </cell>
          <cell r="G42" t="str">
            <v>Ambon</v>
          </cell>
          <cell r="H42" t="str">
            <v>C</v>
          </cell>
          <cell r="I42">
            <v>37221</v>
          </cell>
          <cell r="J42" t="str">
            <v>Cadet</v>
          </cell>
          <cell r="K42">
            <v>297410941</v>
          </cell>
          <cell r="L42">
            <v>625052200</v>
          </cell>
          <cell r="M42">
            <v>13</v>
          </cell>
          <cell r="AM42">
            <v>0</v>
          </cell>
          <cell r="AN42" t="str">
            <v>Martinez-Jacq Erwann</v>
          </cell>
          <cell r="AO42" t="str">
            <v/>
          </cell>
          <cell r="AP42" t="str">
            <v/>
          </cell>
          <cell r="AQ42" t="str">
            <v/>
          </cell>
          <cell r="AR42">
            <v>0</v>
          </cell>
          <cell r="AU42" t="str">
            <v>Martinez-Jacq Erwann</v>
          </cell>
          <cell r="AV42" t="str">
            <v>catija56@live.fr</v>
          </cell>
          <cell r="AW42" t="str">
            <v>x</v>
          </cell>
          <cell r="AX42">
            <v>0</v>
          </cell>
          <cell r="AY42">
            <v>0</v>
          </cell>
          <cell r="AZ42">
            <v>0</v>
          </cell>
          <cell r="BA42">
            <v>0</v>
          </cell>
          <cell r="BB42">
            <v>0</v>
          </cell>
          <cell r="BC42" t="str">
            <v/>
          </cell>
          <cell r="BD42">
            <v>2</v>
          </cell>
          <cell r="BQ42">
            <v>0</v>
          </cell>
          <cell r="BR42" t="str">
            <v/>
          </cell>
        </row>
        <row r="43">
          <cell r="B43" t="str">
            <v/>
          </cell>
          <cell r="C43" t="str">
            <v>Joueur</v>
          </cell>
          <cell r="D43" t="str">
            <v/>
          </cell>
          <cell r="E43">
            <v>56190</v>
          </cell>
          <cell r="F43" t="str">
            <v/>
          </cell>
          <cell r="G43" t="str">
            <v/>
          </cell>
          <cell r="H43" t="str">
            <v>B</v>
          </cell>
          <cell r="I43">
            <v>38213</v>
          </cell>
          <cell r="J43" t="str">
            <v>Benjamin</v>
          </cell>
          <cell r="K43">
            <v>29746673</v>
          </cell>
          <cell r="L43">
            <v>686184339</v>
          </cell>
          <cell r="M43" t="str">
            <v/>
          </cell>
          <cell r="AM43">
            <v>0</v>
          </cell>
          <cell r="AN43" t="str">
            <v/>
          </cell>
          <cell r="AO43" t="str">
            <v/>
          </cell>
          <cell r="AP43" t="str">
            <v/>
          </cell>
          <cell r="AQ43" t="str">
            <v/>
          </cell>
          <cell r="AR43">
            <v>0</v>
          </cell>
          <cell r="AU43" t="str">
            <v/>
          </cell>
          <cell r="AV43">
            <v>0</v>
          </cell>
          <cell r="AW43">
            <v>0</v>
          </cell>
          <cell r="AX43">
            <v>0</v>
          </cell>
          <cell r="AY43">
            <v>0</v>
          </cell>
          <cell r="AZ43">
            <v>0</v>
          </cell>
          <cell r="BA43">
            <v>0</v>
          </cell>
          <cell r="BB43">
            <v>0</v>
          </cell>
          <cell r="BC43" t="str">
            <v/>
          </cell>
          <cell r="BD43">
            <v>2</v>
          </cell>
          <cell r="BQ43">
            <v>0</v>
          </cell>
          <cell r="BR43" t="str">
            <v/>
          </cell>
        </row>
        <row r="44">
          <cell r="B44" t="str">
            <v>Zaragoza Quentin</v>
          </cell>
          <cell r="C44" t="str">
            <v>Joueur</v>
          </cell>
          <cell r="D44" t="str">
            <v>Le creler</v>
          </cell>
          <cell r="E44">
            <v>56190</v>
          </cell>
          <cell r="F44" t="str">
            <v>Zarag</v>
          </cell>
          <cell r="G44" t="str">
            <v>Le Guerno</v>
          </cell>
          <cell r="H44" t="str">
            <v>M</v>
          </cell>
          <cell r="I44">
            <v>37587</v>
          </cell>
          <cell r="J44" t="str">
            <v>Minime</v>
          </cell>
          <cell r="K44">
            <v>669246309</v>
          </cell>
          <cell r="L44">
            <v>297486210</v>
          </cell>
          <cell r="M44">
            <v>12</v>
          </cell>
          <cell r="AM44">
            <v>500.04700000000003</v>
          </cell>
          <cell r="AN44" t="str">
            <v>Zaragoza Quentin</v>
          </cell>
          <cell r="AO44">
            <v>500.04700000000003</v>
          </cell>
          <cell r="AP44">
            <v>5</v>
          </cell>
          <cell r="AQ44">
            <v>7</v>
          </cell>
          <cell r="AR44" t="str">
            <v>x</v>
          </cell>
          <cell r="AU44" t="str">
            <v>Zaragoza Quentin</v>
          </cell>
          <cell r="AV44" t="str">
            <v>jzaragoza56310@gmail.com</v>
          </cell>
          <cell r="AW44" t="str">
            <v>x</v>
          </cell>
          <cell r="AX44">
            <v>0</v>
          </cell>
          <cell r="AY44">
            <v>0</v>
          </cell>
          <cell r="AZ44">
            <v>0</v>
          </cell>
          <cell r="BA44">
            <v>0</v>
          </cell>
          <cell r="BB44">
            <v>0</v>
          </cell>
          <cell r="BC44" t="b">
            <v>1</v>
          </cell>
          <cell r="BD44">
            <v>2</v>
          </cell>
          <cell r="BQ44">
            <v>37587</v>
          </cell>
          <cell r="BR44" t="str">
            <v>Zaragoza Quentin</v>
          </cell>
        </row>
        <row r="45">
          <cell r="B45" t="str">
            <v/>
          </cell>
          <cell r="C45" t="str">
            <v>Joueur</v>
          </cell>
          <cell r="D45" t="str">
            <v/>
          </cell>
          <cell r="E45">
            <v>56190</v>
          </cell>
          <cell r="F45" t="str">
            <v/>
          </cell>
          <cell r="G45" t="str">
            <v/>
          </cell>
          <cell r="H45" t="str">
            <v>C</v>
          </cell>
          <cell r="I45">
            <v>36531</v>
          </cell>
          <cell r="J45" t="str">
            <v>Cadet</v>
          </cell>
          <cell r="K45">
            <v>297429075</v>
          </cell>
          <cell r="L45">
            <v>630526308</v>
          </cell>
          <cell r="M45" t="str">
            <v/>
          </cell>
          <cell r="AM45">
            <v>0</v>
          </cell>
          <cell r="AN45" t="str">
            <v/>
          </cell>
          <cell r="AO45" t="str">
            <v/>
          </cell>
          <cell r="AP45" t="str">
            <v/>
          </cell>
          <cell r="AQ45" t="str">
            <v/>
          </cell>
          <cell r="AR45">
            <v>0</v>
          </cell>
          <cell r="AU45" t="str">
            <v/>
          </cell>
          <cell r="AV45">
            <v>0</v>
          </cell>
          <cell r="AW45">
            <v>0</v>
          </cell>
          <cell r="AX45">
            <v>0</v>
          </cell>
          <cell r="AY45">
            <v>0</v>
          </cell>
          <cell r="AZ45">
            <v>0</v>
          </cell>
          <cell r="BA45">
            <v>0</v>
          </cell>
          <cell r="BB45">
            <v>0</v>
          </cell>
          <cell r="BC45" t="str">
            <v/>
          </cell>
          <cell r="BD45">
            <v>2</v>
          </cell>
          <cell r="BQ45">
            <v>0</v>
          </cell>
          <cell r="BR45" t="str">
            <v/>
          </cell>
        </row>
        <row r="46">
          <cell r="B46" t="str">
            <v/>
          </cell>
          <cell r="C46" t="str">
            <v>Joueur</v>
          </cell>
          <cell r="D46" t="str">
            <v/>
          </cell>
          <cell r="E46">
            <v>56190</v>
          </cell>
          <cell r="F46" t="str">
            <v/>
          </cell>
          <cell r="G46" t="str">
            <v/>
          </cell>
          <cell r="H46" t="str">
            <v>V</v>
          </cell>
          <cell r="I46">
            <v>26876</v>
          </cell>
          <cell r="J46" t="str">
            <v>Vétéran</v>
          </cell>
          <cell r="K46">
            <v>297428143</v>
          </cell>
          <cell r="L46">
            <v>0</v>
          </cell>
          <cell r="M46" t="str">
            <v/>
          </cell>
          <cell r="AM46">
            <v>0</v>
          </cell>
          <cell r="AN46" t="str">
            <v/>
          </cell>
          <cell r="AO46" t="str">
            <v/>
          </cell>
          <cell r="AP46" t="str">
            <v/>
          </cell>
          <cell r="AQ46" t="str">
            <v/>
          </cell>
          <cell r="AR46">
            <v>0</v>
          </cell>
          <cell r="AU46" t="str">
            <v/>
          </cell>
          <cell r="AV46">
            <v>0</v>
          </cell>
          <cell r="AW46">
            <v>0</v>
          </cell>
          <cell r="AX46">
            <v>0</v>
          </cell>
          <cell r="AY46">
            <v>0</v>
          </cell>
          <cell r="AZ46">
            <v>0</v>
          </cell>
          <cell r="BA46">
            <v>0</v>
          </cell>
          <cell r="BB46">
            <v>0</v>
          </cell>
          <cell r="BC46" t="str">
            <v/>
          </cell>
          <cell r="BD46">
            <v>2</v>
          </cell>
          <cell r="BQ46">
            <v>0</v>
          </cell>
          <cell r="BR46" t="str">
            <v/>
          </cell>
        </row>
        <row r="47">
          <cell r="B47" t="str">
            <v>Le Cam Alan</v>
          </cell>
          <cell r="C47" t="str">
            <v>Joueur</v>
          </cell>
          <cell r="D47" t="str">
            <v>9 ru G. Brassens</v>
          </cell>
          <cell r="E47">
            <v>56190</v>
          </cell>
          <cell r="F47" t="str">
            <v>Le Ca</v>
          </cell>
          <cell r="G47" t="str">
            <v>Muzillac</v>
          </cell>
          <cell r="H47" t="str">
            <v>J</v>
          </cell>
          <cell r="I47">
            <v>35495</v>
          </cell>
          <cell r="J47" t="str">
            <v>Junior</v>
          </cell>
          <cell r="K47">
            <v>297486733</v>
          </cell>
          <cell r="L47">
            <v>648768867</v>
          </cell>
          <cell r="M47">
            <v>18</v>
          </cell>
          <cell r="AM47">
            <v>586.05100000000004</v>
          </cell>
          <cell r="AN47" t="str">
            <v>Le Cam Alan</v>
          </cell>
          <cell r="AO47">
            <v>586.05100000000004</v>
          </cell>
          <cell r="AP47">
            <v>5</v>
          </cell>
          <cell r="AQ47">
            <v>5</v>
          </cell>
          <cell r="AR47">
            <v>0</v>
          </cell>
          <cell r="AU47" t="str">
            <v>Le Cam Alan</v>
          </cell>
          <cell r="AV47" t="str">
            <v>alan.lecam@hotmail.fr</v>
          </cell>
          <cell r="AW47" t="str">
            <v>x</v>
          </cell>
          <cell r="AX47">
            <v>0</v>
          </cell>
          <cell r="AY47">
            <v>0</v>
          </cell>
          <cell r="AZ47">
            <v>0</v>
          </cell>
          <cell r="BA47">
            <v>0</v>
          </cell>
          <cell r="BB47">
            <v>0</v>
          </cell>
          <cell r="BC47" t="b">
            <v>1</v>
          </cell>
          <cell r="BD47">
            <v>2</v>
          </cell>
          <cell r="BQ47">
            <v>35495</v>
          </cell>
          <cell r="BR47" t="str">
            <v>Le Cam Alan</v>
          </cell>
        </row>
        <row r="48">
          <cell r="B48" t="str">
            <v>Touche Rémy</v>
          </cell>
          <cell r="C48" t="str">
            <v>Joueur</v>
          </cell>
          <cell r="D48" t="str">
            <v>5 lotissement Pen Ivanen</v>
          </cell>
          <cell r="E48">
            <v>56190</v>
          </cell>
          <cell r="F48" t="str">
            <v>Touch</v>
          </cell>
          <cell r="G48" t="str">
            <v>Lauzach</v>
          </cell>
          <cell r="H48" t="str">
            <v>V</v>
          </cell>
          <cell r="I48">
            <v>17202</v>
          </cell>
          <cell r="J48" t="str">
            <v>Vétéran</v>
          </cell>
          <cell r="K48">
            <v>297670318</v>
          </cell>
          <cell r="L48">
            <v>601902379</v>
          </cell>
          <cell r="M48">
            <v>68</v>
          </cell>
          <cell r="AM48">
            <v>964.05200000000002</v>
          </cell>
          <cell r="AN48" t="str">
            <v>Touche Rémy</v>
          </cell>
          <cell r="AO48">
            <v>964.05200000000002</v>
          </cell>
          <cell r="AP48">
            <v>9</v>
          </cell>
          <cell r="AQ48">
            <v>5</v>
          </cell>
          <cell r="AR48">
            <v>0</v>
          </cell>
          <cell r="AU48" t="str">
            <v>Touche Rémy</v>
          </cell>
          <cell r="AV48" t="str">
            <v>remytouche@voila.fr</v>
          </cell>
          <cell r="AW48" t="str">
            <v>x</v>
          </cell>
          <cell r="AX48">
            <v>0</v>
          </cell>
          <cell r="AY48">
            <v>0</v>
          </cell>
          <cell r="AZ48">
            <v>0</v>
          </cell>
          <cell r="BA48">
            <v>0</v>
          </cell>
          <cell r="BB48">
            <v>0</v>
          </cell>
          <cell r="BC48" t="b">
            <v>1</v>
          </cell>
          <cell r="BD48">
            <v>2</v>
          </cell>
          <cell r="BQ48">
            <v>0</v>
          </cell>
          <cell r="BR48" t="str">
            <v/>
          </cell>
        </row>
        <row r="49">
          <cell r="B49" t="str">
            <v/>
          </cell>
          <cell r="C49" t="str">
            <v>Joueur</v>
          </cell>
          <cell r="D49" t="str">
            <v/>
          </cell>
          <cell r="E49">
            <v>56190</v>
          </cell>
          <cell r="F49" t="str">
            <v/>
          </cell>
          <cell r="G49" t="str">
            <v/>
          </cell>
          <cell r="H49" t="str">
            <v>M</v>
          </cell>
          <cell r="I49">
            <v>37887</v>
          </cell>
          <cell r="J49" t="str">
            <v>Minime</v>
          </cell>
          <cell r="K49">
            <v>0</v>
          </cell>
          <cell r="L49">
            <v>0</v>
          </cell>
          <cell r="M49" t="str">
            <v/>
          </cell>
          <cell r="AM49">
            <v>0</v>
          </cell>
          <cell r="AN49" t="str">
            <v/>
          </cell>
          <cell r="AO49" t="str">
            <v/>
          </cell>
          <cell r="AP49" t="str">
            <v/>
          </cell>
          <cell r="AQ49" t="str">
            <v/>
          </cell>
          <cell r="AR49">
            <v>0</v>
          </cell>
          <cell r="AU49" t="str">
            <v/>
          </cell>
          <cell r="AV49" t="str">
            <v xml:space="preserve"> </v>
          </cell>
          <cell r="AW49">
            <v>0</v>
          </cell>
          <cell r="AX49">
            <v>0</v>
          </cell>
          <cell r="AY49">
            <v>0</v>
          </cell>
          <cell r="AZ49">
            <v>0</v>
          </cell>
          <cell r="BA49">
            <v>0</v>
          </cell>
          <cell r="BB49">
            <v>0</v>
          </cell>
          <cell r="BC49" t="str">
            <v/>
          </cell>
          <cell r="BD49">
            <v>2</v>
          </cell>
          <cell r="BQ49">
            <v>0</v>
          </cell>
          <cell r="BR49" t="str">
            <v/>
          </cell>
        </row>
        <row r="50">
          <cell r="B50" t="str">
            <v/>
          </cell>
          <cell r="C50" t="str">
            <v>Joueur</v>
          </cell>
          <cell r="D50" t="str">
            <v/>
          </cell>
          <cell r="E50">
            <v>56190</v>
          </cell>
          <cell r="F50" t="str">
            <v/>
          </cell>
          <cell r="G50" t="str">
            <v/>
          </cell>
          <cell r="H50" t="str">
            <v>V</v>
          </cell>
          <cell r="I50">
            <v>25019</v>
          </cell>
          <cell r="J50" t="str">
            <v>Vétéran</v>
          </cell>
          <cell r="K50">
            <v>297486650</v>
          </cell>
          <cell r="L50">
            <v>687606202</v>
          </cell>
          <cell r="M50" t="str">
            <v/>
          </cell>
          <cell r="AM50">
            <v>0</v>
          </cell>
          <cell r="AN50" t="str">
            <v/>
          </cell>
          <cell r="AO50" t="str">
            <v/>
          </cell>
          <cell r="AP50" t="str">
            <v/>
          </cell>
          <cell r="AQ50" t="str">
            <v/>
          </cell>
          <cell r="AR50">
            <v>0</v>
          </cell>
          <cell r="AU50" t="str">
            <v/>
          </cell>
          <cell r="AV50">
            <v>0</v>
          </cell>
          <cell r="AW50">
            <v>0</v>
          </cell>
          <cell r="AX50">
            <v>0</v>
          </cell>
          <cell r="AY50">
            <v>0</v>
          </cell>
          <cell r="AZ50">
            <v>0</v>
          </cell>
          <cell r="BA50">
            <v>0</v>
          </cell>
          <cell r="BB50">
            <v>0</v>
          </cell>
          <cell r="BC50" t="str">
            <v/>
          </cell>
          <cell r="BD50">
            <v>2</v>
          </cell>
          <cell r="BQ50">
            <v>0</v>
          </cell>
          <cell r="BR50" t="str">
            <v/>
          </cell>
        </row>
        <row r="51">
          <cell r="B51" t="str">
            <v>Lorho Mathieu</v>
          </cell>
          <cell r="C51" t="str">
            <v>Joueur</v>
          </cell>
          <cell r="D51" t="str">
            <v>Rue maitre Cordier</v>
          </cell>
          <cell r="E51">
            <v>56190</v>
          </cell>
          <cell r="F51" t="str">
            <v>Lorho</v>
          </cell>
          <cell r="G51" t="str">
            <v>Muzillac</v>
          </cell>
          <cell r="H51" t="str">
            <v>J</v>
          </cell>
          <cell r="I51">
            <v>35826</v>
          </cell>
          <cell r="J51" t="str">
            <v>Junior</v>
          </cell>
          <cell r="K51">
            <v>297456603</v>
          </cell>
          <cell r="L51">
            <v>674559951</v>
          </cell>
          <cell r="M51">
            <v>17</v>
          </cell>
          <cell r="AM51">
            <v>630.05499999999995</v>
          </cell>
          <cell r="AN51" t="str">
            <v>Lorho Mathieu</v>
          </cell>
          <cell r="AO51">
            <v>630.05499999999995</v>
          </cell>
          <cell r="AP51">
            <v>6</v>
          </cell>
          <cell r="AQ51">
            <v>6</v>
          </cell>
          <cell r="AR51" t="str">
            <v>x</v>
          </cell>
          <cell r="AU51" t="str">
            <v>Lorho Mathieu</v>
          </cell>
          <cell r="AV51" t="str">
            <v>daniel.lorho@wanadoo.fr</v>
          </cell>
          <cell r="AW51" t="str">
            <v>x</v>
          </cell>
          <cell r="AX51">
            <v>0</v>
          </cell>
          <cell r="AY51">
            <v>0</v>
          </cell>
          <cell r="AZ51">
            <v>0</v>
          </cell>
          <cell r="BA51">
            <v>0</v>
          </cell>
          <cell r="BB51">
            <v>0</v>
          </cell>
          <cell r="BC51" t="b">
            <v>1</v>
          </cell>
          <cell r="BD51">
            <v>2</v>
          </cell>
          <cell r="BQ51">
            <v>35826</v>
          </cell>
          <cell r="BR51" t="str">
            <v>Lorho Mathieu</v>
          </cell>
        </row>
        <row r="52">
          <cell r="B52" t="str">
            <v>Brient Jean-François</v>
          </cell>
          <cell r="C52" t="str">
            <v>Joueur</v>
          </cell>
          <cell r="D52" t="str">
            <v>27 grande rue Kervoyal</v>
          </cell>
          <cell r="E52">
            <v>56750</v>
          </cell>
          <cell r="F52" t="str">
            <v>Brien</v>
          </cell>
          <cell r="G52" t="str">
            <v>Damgan</v>
          </cell>
          <cell r="H52" t="str">
            <v>S</v>
          </cell>
          <cell r="I52">
            <v>28646</v>
          </cell>
          <cell r="J52" t="str">
            <v>Sénior</v>
          </cell>
          <cell r="K52">
            <v>634136634</v>
          </cell>
          <cell r="L52">
            <v>0</v>
          </cell>
          <cell r="M52">
            <v>36</v>
          </cell>
          <cell r="AM52">
            <v>2056.056</v>
          </cell>
          <cell r="AN52" t="str">
            <v>Brient Jean-François</v>
          </cell>
          <cell r="AO52">
            <v>2056.056</v>
          </cell>
          <cell r="AP52">
            <v>20</v>
          </cell>
          <cell r="AQ52">
            <v>1</v>
          </cell>
          <cell r="AR52" t="str">
            <v>x</v>
          </cell>
          <cell r="AU52" t="str">
            <v>Brient Jean-François</v>
          </cell>
          <cell r="AV52" t="str">
            <v>jeff.brient@sfr.fr</v>
          </cell>
          <cell r="AW52" t="str">
            <v>x</v>
          </cell>
          <cell r="AX52">
            <v>0</v>
          </cell>
          <cell r="AY52">
            <v>0</v>
          </cell>
          <cell r="AZ52">
            <v>0</v>
          </cell>
          <cell r="BA52">
            <v>0</v>
          </cell>
          <cell r="BB52">
            <v>0</v>
          </cell>
          <cell r="BC52" t="b">
            <v>1</v>
          </cell>
          <cell r="BD52">
            <v>2</v>
          </cell>
          <cell r="BQ52">
            <v>0</v>
          </cell>
          <cell r="BR52" t="str">
            <v/>
          </cell>
        </row>
        <row r="53">
          <cell r="B53" t="str">
            <v/>
          </cell>
          <cell r="C53" t="str">
            <v>Joueur</v>
          </cell>
          <cell r="D53" t="str">
            <v/>
          </cell>
          <cell r="E53">
            <v>56190</v>
          </cell>
          <cell r="F53" t="str">
            <v/>
          </cell>
          <cell r="G53" t="str">
            <v/>
          </cell>
          <cell r="H53" t="str">
            <v>J</v>
          </cell>
          <cell r="I53">
            <v>35678</v>
          </cell>
          <cell r="J53" t="str">
            <v>Junior</v>
          </cell>
          <cell r="K53">
            <v>297481217</v>
          </cell>
          <cell r="L53">
            <v>770391390</v>
          </cell>
          <cell r="M53" t="str">
            <v/>
          </cell>
          <cell r="AM53">
            <v>0</v>
          </cell>
          <cell r="AN53" t="str">
            <v/>
          </cell>
          <cell r="AO53" t="str">
            <v/>
          </cell>
          <cell r="AP53" t="str">
            <v/>
          </cell>
          <cell r="AQ53" t="str">
            <v/>
          </cell>
          <cell r="AR53">
            <v>0</v>
          </cell>
          <cell r="AU53" t="str">
            <v/>
          </cell>
          <cell r="AV53" t="str">
            <v xml:space="preserve">regis.le_pichon@orange.fr </v>
          </cell>
          <cell r="AW53">
            <v>0</v>
          </cell>
          <cell r="AX53">
            <v>0</v>
          </cell>
          <cell r="AY53">
            <v>0</v>
          </cell>
          <cell r="AZ53">
            <v>0</v>
          </cell>
          <cell r="BA53">
            <v>0</v>
          </cell>
          <cell r="BB53">
            <v>0</v>
          </cell>
          <cell r="BC53" t="str">
            <v/>
          </cell>
          <cell r="BD53">
            <v>2</v>
          </cell>
          <cell r="BQ53">
            <v>0</v>
          </cell>
          <cell r="BR53" t="str">
            <v/>
          </cell>
        </row>
        <row r="54">
          <cell r="B54" t="str">
            <v/>
          </cell>
          <cell r="C54" t="str">
            <v>Joueur</v>
          </cell>
          <cell r="D54" t="str">
            <v/>
          </cell>
          <cell r="E54">
            <v>56190</v>
          </cell>
          <cell r="F54" t="str">
            <v/>
          </cell>
          <cell r="G54" t="str">
            <v/>
          </cell>
          <cell r="H54" t="str">
            <v>V</v>
          </cell>
          <cell r="I54">
            <v>27176</v>
          </cell>
          <cell r="J54" t="str">
            <v>Vétéran</v>
          </cell>
          <cell r="K54">
            <v>297481095</v>
          </cell>
          <cell r="L54">
            <v>647561420</v>
          </cell>
          <cell r="M54" t="str">
            <v/>
          </cell>
          <cell r="AM54">
            <v>0</v>
          </cell>
          <cell r="AN54" t="str">
            <v/>
          </cell>
          <cell r="AO54" t="str">
            <v/>
          </cell>
          <cell r="AP54" t="str">
            <v/>
          </cell>
          <cell r="AQ54" t="str">
            <v/>
          </cell>
          <cell r="AR54">
            <v>0</v>
          </cell>
          <cell r="AU54" t="str">
            <v/>
          </cell>
          <cell r="AV54">
            <v>0</v>
          </cell>
          <cell r="AW54">
            <v>0</v>
          </cell>
          <cell r="AX54">
            <v>0</v>
          </cell>
          <cell r="AY54">
            <v>0</v>
          </cell>
          <cell r="AZ54">
            <v>0</v>
          </cell>
          <cell r="BA54">
            <v>0</v>
          </cell>
          <cell r="BB54">
            <v>0</v>
          </cell>
          <cell r="BC54" t="str">
            <v/>
          </cell>
          <cell r="BD54">
            <v>2</v>
          </cell>
          <cell r="BQ54">
            <v>0</v>
          </cell>
          <cell r="BR54" t="str">
            <v/>
          </cell>
        </row>
        <row r="55">
          <cell r="B55" t="str">
            <v/>
          </cell>
          <cell r="C55" t="str">
            <v>Joueur</v>
          </cell>
          <cell r="D55" t="str">
            <v/>
          </cell>
          <cell r="E55">
            <v>56130</v>
          </cell>
          <cell r="F55" t="str">
            <v/>
          </cell>
          <cell r="G55" t="str">
            <v/>
          </cell>
          <cell r="H55" t="str">
            <v>B</v>
          </cell>
          <cell r="I55">
            <v>37992</v>
          </cell>
          <cell r="J55" t="str">
            <v>Benjamin</v>
          </cell>
          <cell r="K55">
            <v>0</v>
          </cell>
          <cell r="L55">
            <v>0</v>
          </cell>
          <cell r="M55" t="str">
            <v/>
          </cell>
          <cell r="AM55">
            <v>0</v>
          </cell>
          <cell r="AN55" t="str">
            <v/>
          </cell>
          <cell r="AO55" t="str">
            <v/>
          </cell>
          <cell r="AP55" t="str">
            <v/>
          </cell>
          <cell r="AQ55" t="str">
            <v/>
          </cell>
          <cell r="AR55">
            <v>0</v>
          </cell>
          <cell r="AU55" t="str">
            <v/>
          </cell>
          <cell r="AV55">
            <v>0</v>
          </cell>
          <cell r="AW55">
            <v>0</v>
          </cell>
          <cell r="AX55">
            <v>0</v>
          </cell>
          <cell r="AY55">
            <v>0</v>
          </cell>
          <cell r="AZ55">
            <v>0</v>
          </cell>
          <cell r="BA55">
            <v>0</v>
          </cell>
          <cell r="BB55">
            <v>0</v>
          </cell>
          <cell r="BC55" t="str">
            <v/>
          </cell>
          <cell r="BD55">
            <v>2</v>
          </cell>
          <cell r="BQ55">
            <v>0</v>
          </cell>
          <cell r="BR55" t="str">
            <v/>
          </cell>
        </row>
        <row r="56">
          <cell r="B56" t="str">
            <v/>
          </cell>
          <cell r="C56" t="str">
            <v>Joueur</v>
          </cell>
          <cell r="D56" t="str">
            <v/>
          </cell>
          <cell r="E56">
            <v>56190</v>
          </cell>
          <cell r="F56" t="str">
            <v/>
          </cell>
          <cell r="G56" t="str">
            <v/>
          </cell>
          <cell r="H56" t="str">
            <v>M</v>
          </cell>
          <cell r="I56">
            <v>37709</v>
          </cell>
          <cell r="J56" t="str">
            <v>Minime</v>
          </cell>
          <cell r="K56">
            <v>297415020</v>
          </cell>
          <cell r="L56">
            <v>677107252</v>
          </cell>
          <cell r="M56" t="str">
            <v/>
          </cell>
          <cell r="AM56">
            <v>0</v>
          </cell>
          <cell r="AN56" t="str">
            <v/>
          </cell>
          <cell r="AO56" t="str">
            <v/>
          </cell>
          <cell r="AP56" t="str">
            <v/>
          </cell>
          <cell r="AQ56" t="str">
            <v/>
          </cell>
          <cell r="AR56">
            <v>0</v>
          </cell>
          <cell r="AU56" t="str">
            <v/>
          </cell>
          <cell r="AV56">
            <v>0</v>
          </cell>
          <cell r="AW56">
            <v>0</v>
          </cell>
          <cell r="AX56">
            <v>0</v>
          </cell>
          <cell r="AY56">
            <v>0</v>
          </cell>
          <cell r="AZ56">
            <v>0</v>
          </cell>
          <cell r="BA56">
            <v>0</v>
          </cell>
          <cell r="BB56">
            <v>0</v>
          </cell>
          <cell r="BC56" t="str">
            <v/>
          </cell>
          <cell r="BD56">
            <v>2</v>
          </cell>
          <cell r="BQ56">
            <v>0</v>
          </cell>
          <cell r="BR56" t="str">
            <v/>
          </cell>
        </row>
        <row r="57">
          <cell r="B57" t="str">
            <v>Colin Véronique</v>
          </cell>
          <cell r="C57" t="str">
            <v>Joueur</v>
          </cell>
          <cell r="D57" t="str">
            <v>24 rue de l'abbé Noury</v>
          </cell>
          <cell r="E57">
            <v>56190</v>
          </cell>
          <cell r="F57" t="str">
            <v>Colin</v>
          </cell>
          <cell r="G57" t="str">
            <v>Lauzach</v>
          </cell>
          <cell r="H57" t="str">
            <v>V</v>
          </cell>
          <cell r="I57">
            <v>27255</v>
          </cell>
          <cell r="J57" t="str">
            <v>Vétéran</v>
          </cell>
          <cell r="K57">
            <v>667469688</v>
          </cell>
          <cell r="L57">
            <v>0</v>
          </cell>
          <cell r="M57">
            <v>40</v>
          </cell>
          <cell r="AM57">
            <v>0</v>
          </cell>
          <cell r="AN57" t="str">
            <v>Colin Véronique</v>
          </cell>
          <cell r="AO57" t="str">
            <v/>
          </cell>
          <cell r="AP57" t="str">
            <v/>
          </cell>
          <cell r="AQ57" t="str">
            <v/>
          </cell>
          <cell r="AR57">
            <v>0</v>
          </cell>
          <cell r="AU57" t="str">
            <v>Colin Véronique</v>
          </cell>
          <cell r="AV57" t="str">
            <v>veronique.colin@gmail.com</v>
          </cell>
          <cell r="AW57">
            <v>0</v>
          </cell>
          <cell r="AX57">
            <v>0</v>
          </cell>
          <cell r="AY57">
            <v>0</v>
          </cell>
          <cell r="AZ57">
            <v>0</v>
          </cell>
          <cell r="BA57">
            <v>0</v>
          </cell>
          <cell r="BB57">
            <v>0</v>
          </cell>
          <cell r="BC57" t="str">
            <v/>
          </cell>
          <cell r="BD57">
            <v>1</v>
          </cell>
          <cell r="BQ57">
            <v>0</v>
          </cell>
          <cell r="BR57" t="str">
            <v/>
          </cell>
        </row>
        <row r="58">
          <cell r="B58" t="str">
            <v>Gautier Guilhem</v>
          </cell>
          <cell r="C58" t="str">
            <v>Joueur</v>
          </cell>
          <cell r="D58" t="str">
            <v>Lot Le Rufienne 1 impasse du Loc</v>
          </cell>
          <cell r="E58">
            <v>56190</v>
          </cell>
          <cell r="F58" t="str">
            <v>Gauti</v>
          </cell>
          <cell r="G58" t="str">
            <v>Ambon</v>
          </cell>
          <cell r="H58" t="str">
            <v>M</v>
          </cell>
          <cell r="I58">
            <v>37792</v>
          </cell>
          <cell r="J58" t="str">
            <v>Minime</v>
          </cell>
          <cell r="K58">
            <v>297412001</v>
          </cell>
          <cell r="L58">
            <v>687069220</v>
          </cell>
          <cell r="M58">
            <v>11</v>
          </cell>
          <cell r="AM58">
            <v>0</v>
          </cell>
          <cell r="AN58" t="str">
            <v>Gautier Guilhem</v>
          </cell>
          <cell r="AO58" t="str">
            <v/>
          </cell>
          <cell r="AP58" t="str">
            <v/>
          </cell>
          <cell r="AQ58" t="str">
            <v/>
          </cell>
          <cell r="AR58">
            <v>0</v>
          </cell>
          <cell r="AU58" t="str">
            <v>Gautier Guilhem</v>
          </cell>
          <cell r="AV58" t="str">
            <v>hg56@orange.fr</v>
          </cell>
          <cell r="AW58" t="str">
            <v>x</v>
          </cell>
          <cell r="AX58">
            <v>0</v>
          </cell>
          <cell r="AY58">
            <v>0</v>
          </cell>
          <cell r="AZ58">
            <v>0</v>
          </cell>
          <cell r="BA58">
            <v>0</v>
          </cell>
          <cell r="BB58">
            <v>0</v>
          </cell>
          <cell r="BC58" t="str">
            <v/>
          </cell>
          <cell r="BD58">
            <v>2</v>
          </cell>
          <cell r="BQ58">
            <v>0</v>
          </cell>
          <cell r="BR58" t="str">
            <v/>
          </cell>
        </row>
        <row r="59">
          <cell r="B59" t="str">
            <v>Allano Antoine</v>
          </cell>
          <cell r="C59" t="str">
            <v>Joueur</v>
          </cell>
          <cell r="D59" t="str">
            <v>Prad'yoff</v>
          </cell>
          <cell r="E59">
            <v>56190</v>
          </cell>
          <cell r="F59" t="str">
            <v>Allan</v>
          </cell>
          <cell r="G59" t="str">
            <v>Ambon</v>
          </cell>
          <cell r="H59" t="str">
            <v>J</v>
          </cell>
          <cell r="I59">
            <v>35829</v>
          </cell>
          <cell r="J59" t="str">
            <v>Junior</v>
          </cell>
          <cell r="K59">
            <v>297486784</v>
          </cell>
          <cell r="L59">
            <v>680765573</v>
          </cell>
          <cell r="M59">
            <v>17</v>
          </cell>
          <cell r="AM59">
            <v>617.06399999999996</v>
          </cell>
          <cell r="AN59" t="str">
            <v>Allano Antoine</v>
          </cell>
          <cell r="AO59">
            <v>617.06399999999996</v>
          </cell>
          <cell r="AP59">
            <v>6</v>
          </cell>
          <cell r="AQ59">
            <v>5</v>
          </cell>
          <cell r="AR59" t="str">
            <v>x</v>
          </cell>
          <cell r="AU59" t="str">
            <v>Allano Antoine</v>
          </cell>
          <cell r="AV59" t="str">
            <v>allanoantoine@hotmail.fr</v>
          </cell>
          <cell r="AW59" t="str">
            <v>x</v>
          </cell>
          <cell r="AX59">
            <v>0</v>
          </cell>
          <cell r="AY59">
            <v>0</v>
          </cell>
          <cell r="AZ59">
            <v>0</v>
          </cell>
          <cell r="BA59">
            <v>0</v>
          </cell>
          <cell r="BB59">
            <v>0</v>
          </cell>
          <cell r="BC59" t="b">
            <v>1</v>
          </cell>
          <cell r="BD59">
            <v>2</v>
          </cell>
          <cell r="BQ59">
            <v>35829</v>
          </cell>
          <cell r="BR59" t="str">
            <v>Allano Antoine</v>
          </cell>
        </row>
        <row r="60">
          <cell r="B60" t="str">
            <v>Pison Adrien</v>
          </cell>
          <cell r="C60" t="str">
            <v>Joueur</v>
          </cell>
          <cell r="D60" t="str">
            <v>4 rue de fouesnel</v>
          </cell>
          <cell r="E60">
            <v>35410</v>
          </cell>
          <cell r="F60" t="str">
            <v>Pison</v>
          </cell>
          <cell r="G60" t="str">
            <v>Billiers</v>
          </cell>
          <cell r="H60" t="str">
            <v>S</v>
          </cell>
          <cell r="I60">
            <v>33895</v>
          </cell>
          <cell r="J60" t="str">
            <v>Sénior</v>
          </cell>
          <cell r="K60">
            <v>299375937</v>
          </cell>
          <cell r="L60">
            <v>649712382</v>
          </cell>
          <cell r="M60">
            <v>22</v>
          </cell>
          <cell r="AM60">
            <v>0</v>
          </cell>
          <cell r="AN60" t="str">
            <v>Pison Adrien</v>
          </cell>
          <cell r="AO60" t="str">
            <v/>
          </cell>
          <cell r="AP60" t="str">
            <v/>
          </cell>
          <cell r="AQ60" t="str">
            <v/>
          </cell>
          <cell r="AR60">
            <v>0</v>
          </cell>
          <cell r="AU60" t="str">
            <v>Pison Adrien</v>
          </cell>
          <cell r="AV60" t="str">
            <v>adrien.pison@wanadoo.fr</v>
          </cell>
          <cell r="AW60" t="str">
            <v>x</v>
          </cell>
          <cell r="AX60">
            <v>0</v>
          </cell>
          <cell r="AY60">
            <v>0</v>
          </cell>
          <cell r="AZ60">
            <v>0</v>
          </cell>
          <cell r="BA60">
            <v>0</v>
          </cell>
          <cell r="BB60">
            <v>0</v>
          </cell>
          <cell r="BC60" t="str">
            <v/>
          </cell>
          <cell r="BD60">
            <v>2</v>
          </cell>
          <cell r="BQ60">
            <v>0</v>
          </cell>
          <cell r="BR60" t="str">
            <v/>
          </cell>
        </row>
        <row r="61">
          <cell r="B61" t="str">
            <v>Guehennec Benoit</v>
          </cell>
          <cell r="C61" t="str">
            <v>Joueur</v>
          </cell>
          <cell r="D61" t="str">
            <v>7 rue de Pen Mur</v>
          </cell>
          <cell r="E61">
            <v>56190</v>
          </cell>
          <cell r="F61" t="str">
            <v>Guehe</v>
          </cell>
          <cell r="G61" t="str">
            <v>Muzillac</v>
          </cell>
          <cell r="H61" t="str">
            <v>V</v>
          </cell>
          <cell r="I61">
            <v>25241</v>
          </cell>
          <cell r="J61" t="str">
            <v>Vétéran</v>
          </cell>
          <cell r="K61">
            <v>297486510</v>
          </cell>
          <cell r="L61">
            <v>685530674</v>
          </cell>
          <cell r="M61">
            <v>46</v>
          </cell>
          <cell r="AM61">
            <v>686.06600000000003</v>
          </cell>
          <cell r="AN61" t="str">
            <v>Guehennec Benoit</v>
          </cell>
          <cell r="AO61">
            <v>686.06600000000003</v>
          </cell>
          <cell r="AP61">
            <v>6</v>
          </cell>
          <cell r="AQ61">
            <v>8</v>
          </cell>
          <cell r="AR61">
            <v>0</v>
          </cell>
          <cell r="AU61" t="str">
            <v>Guehennec Benoit</v>
          </cell>
          <cell r="AV61" t="str">
            <v>chougounet@orange.fr</v>
          </cell>
          <cell r="AW61" t="str">
            <v>x</v>
          </cell>
          <cell r="AX61">
            <v>0</v>
          </cell>
          <cell r="AY61">
            <v>0</v>
          </cell>
          <cell r="AZ61">
            <v>0</v>
          </cell>
          <cell r="BA61">
            <v>0</v>
          </cell>
          <cell r="BB61">
            <v>0</v>
          </cell>
          <cell r="BC61" t="b">
            <v>1</v>
          </cell>
          <cell r="BD61">
            <v>2</v>
          </cell>
          <cell r="BQ61">
            <v>0</v>
          </cell>
          <cell r="BR61" t="str">
            <v/>
          </cell>
        </row>
        <row r="62">
          <cell r="B62" t="str">
            <v>Hilton Franck</v>
          </cell>
          <cell r="C62" t="str">
            <v>Joueur</v>
          </cell>
          <cell r="D62" t="str">
            <v>2 allée de la ville frabourg</v>
          </cell>
          <cell r="E62">
            <v>56130</v>
          </cell>
          <cell r="F62" t="str">
            <v>Hilto</v>
          </cell>
          <cell r="G62" t="str">
            <v>Nivillac</v>
          </cell>
          <cell r="H62" t="str">
            <v>S</v>
          </cell>
          <cell r="I62">
            <v>27538</v>
          </cell>
          <cell r="J62" t="str">
            <v>Sénior</v>
          </cell>
          <cell r="K62">
            <v>647889385</v>
          </cell>
          <cell r="L62">
            <v>0</v>
          </cell>
          <cell r="M62">
            <v>40</v>
          </cell>
          <cell r="AM62">
            <v>939.06700000000001</v>
          </cell>
          <cell r="AN62" t="str">
            <v>Hilton Franck</v>
          </cell>
          <cell r="AO62">
            <v>939.06700000000001</v>
          </cell>
          <cell r="AP62">
            <v>9</v>
          </cell>
          <cell r="AQ62">
            <v>3</v>
          </cell>
          <cell r="AR62" t="str">
            <v>x</v>
          </cell>
          <cell r="AU62" t="str">
            <v>Hilton Franck</v>
          </cell>
          <cell r="AV62" t="str">
            <v>alexandrejanvion@yahoo.fr</v>
          </cell>
          <cell r="AW62" t="str">
            <v>x</v>
          </cell>
          <cell r="AX62">
            <v>0</v>
          </cell>
          <cell r="AY62">
            <v>0</v>
          </cell>
          <cell r="AZ62">
            <v>0</v>
          </cell>
          <cell r="BA62">
            <v>0</v>
          </cell>
          <cell r="BB62">
            <v>0</v>
          </cell>
          <cell r="BC62" t="b">
            <v>1</v>
          </cell>
          <cell r="BD62">
            <v>2</v>
          </cell>
          <cell r="BQ62">
            <v>0</v>
          </cell>
          <cell r="BR62" t="str">
            <v/>
          </cell>
        </row>
        <row r="63">
          <cell r="B63" t="str">
            <v>Zaragoza José</v>
          </cell>
          <cell r="C63" t="str">
            <v>Joueur</v>
          </cell>
          <cell r="D63" t="str">
            <v>Le Creler</v>
          </cell>
          <cell r="E63">
            <v>56190</v>
          </cell>
          <cell r="F63" t="str">
            <v>Zarag</v>
          </cell>
          <cell r="G63" t="str">
            <v>Le Guerno</v>
          </cell>
          <cell r="H63" t="str">
            <v>V</v>
          </cell>
          <cell r="I63">
            <v>26711</v>
          </cell>
          <cell r="J63" t="str">
            <v>Vétéran</v>
          </cell>
          <cell r="K63">
            <v>669246309</v>
          </cell>
          <cell r="L63">
            <v>297486210</v>
          </cell>
          <cell r="M63">
            <v>42</v>
          </cell>
          <cell r="AM63">
            <v>1067.068</v>
          </cell>
          <cell r="AN63" t="str">
            <v>Zaragoza José</v>
          </cell>
          <cell r="AO63">
            <v>1067.068</v>
          </cell>
          <cell r="AP63">
            <v>10</v>
          </cell>
          <cell r="AQ63">
            <v>7</v>
          </cell>
          <cell r="AR63">
            <v>0</v>
          </cell>
          <cell r="AU63" t="str">
            <v>Zaragoza José</v>
          </cell>
          <cell r="AV63" t="str">
            <v>jzaragoza56310@gmail.com</v>
          </cell>
          <cell r="AW63" t="str">
            <v>x</v>
          </cell>
          <cell r="AX63">
            <v>0</v>
          </cell>
          <cell r="AY63">
            <v>0</v>
          </cell>
          <cell r="AZ63">
            <v>0</v>
          </cell>
          <cell r="BA63">
            <v>0</v>
          </cell>
          <cell r="BB63">
            <v>0</v>
          </cell>
          <cell r="BC63" t="b">
            <v>1</v>
          </cell>
          <cell r="BD63">
            <v>2</v>
          </cell>
          <cell r="BQ63">
            <v>0</v>
          </cell>
          <cell r="BR63" t="str">
            <v/>
          </cell>
        </row>
        <row r="64">
          <cell r="B64" t="str">
            <v/>
          </cell>
          <cell r="C64" t="str">
            <v>Joueur</v>
          </cell>
          <cell r="D64" t="str">
            <v/>
          </cell>
          <cell r="E64">
            <v>56190</v>
          </cell>
          <cell r="F64" t="str">
            <v/>
          </cell>
          <cell r="G64" t="str">
            <v/>
          </cell>
          <cell r="H64" t="str">
            <v>V</v>
          </cell>
          <cell r="I64">
            <v>24725</v>
          </cell>
          <cell r="J64" t="str">
            <v>Vétéran</v>
          </cell>
          <cell r="K64">
            <v>297416113</v>
          </cell>
          <cell r="L64">
            <v>0</v>
          </cell>
          <cell r="M64" t="str">
            <v/>
          </cell>
          <cell r="AM64">
            <v>0</v>
          </cell>
          <cell r="AN64" t="str">
            <v/>
          </cell>
          <cell r="AO64" t="str">
            <v/>
          </cell>
          <cell r="AP64" t="str">
            <v/>
          </cell>
          <cell r="AQ64" t="str">
            <v/>
          </cell>
          <cell r="AR64">
            <v>0</v>
          </cell>
          <cell r="AU64" t="str">
            <v/>
          </cell>
          <cell r="AV64" t="str">
            <v>catula@orange.fr</v>
          </cell>
          <cell r="AW64">
            <v>0</v>
          </cell>
          <cell r="AX64">
            <v>0</v>
          </cell>
          <cell r="AY64">
            <v>0</v>
          </cell>
          <cell r="AZ64">
            <v>0</v>
          </cell>
          <cell r="BA64">
            <v>0</v>
          </cell>
          <cell r="BB64">
            <v>0</v>
          </cell>
          <cell r="BC64" t="str">
            <v/>
          </cell>
          <cell r="BD64">
            <v>2</v>
          </cell>
          <cell r="BQ64">
            <v>0</v>
          </cell>
          <cell r="BR64" t="str">
            <v/>
          </cell>
        </row>
        <row r="65">
          <cell r="B65" t="str">
            <v/>
          </cell>
          <cell r="C65" t="str">
            <v>Joueur</v>
          </cell>
          <cell r="D65" t="str">
            <v/>
          </cell>
          <cell r="E65">
            <v>56130</v>
          </cell>
          <cell r="F65" t="str">
            <v/>
          </cell>
          <cell r="G65" t="str">
            <v/>
          </cell>
          <cell r="H65" t="str">
            <v>J</v>
          </cell>
          <cell r="I65">
            <v>36145</v>
          </cell>
          <cell r="J65" t="str">
            <v>Junior</v>
          </cell>
          <cell r="K65">
            <v>297428709</v>
          </cell>
          <cell r="L65">
            <v>662185816</v>
          </cell>
          <cell r="M65" t="str">
            <v/>
          </cell>
          <cell r="AM65">
            <v>0</v>
          </cell>
          <cell r="AN65" t="str">
            <v/>
          </cell>
          <cell r="AO65" t="str">
            <v/>
          </cell>
          <cell r="AP65" t="str">
            <v/>
          </cell>
          <cell r="AQ65" t="str">
            <v/>
          </cell>
          <cell r="AR65">
            <v>0</v>
          </cell>
          <cell r="AU65" t="str">
            <v/>
          </cell>
          <cell r="AV65" t="str">
            <v>sophie.landru@dbmail.com</v>
          </cell>
          <cell r="AW65">
            <v>0</v>
          </cell>
          <cell r="AX65">
            <v>0</v>
          </cell>
          <cell r="AY65">
            <v>0</v>
          </cell>
          <cell r="AZ65">
            <v>0</v>
          </cell>
          <cell r="BA65">
            <v>0</v>
          </cell>
          <cell r="BB65">
            <v>0</v>
          </cell>
          <cell r="BC65" t="str">
            <v/>
          </cell>
          <cell r="BD65">
            <v>2</v>
          </cell>
          <cell r="BQ65">
            <v>0</v>
          </cell>
          <cell r="BR65" t="str">
            <v/>
          </cell>
        </row>
        <row r="66">
          <cell r="B66" t="str">
            <v/>
          </cell>
          <cell r="C66" t="str">
            <v>Joueur</v>
          </cell>
          <cell r="D66" t="str">
            <v/>
          </cell>
          <cell r="E66">
            <v>56190</v>
          </cell>
          <cell r="F66" t="str">
            <v/>
          </cell>
          <cell r="G66" t="str">
            <v/>
          </cell>
          <cell r="H66" t="str">
            <v>V</v>
          </cell>
          <cell r="I66">
            <v>23079</v>
          </cell>
          <cell r="J66" t="str">
            <v>Vétéran</v>
          </cell>
          <cell r="K66">
            <v>688409801</v>
          </cell>
          <cell r="L66">
            <v>0</v>
          </cell>
          <cell r="M66" t="str">
            <v/>
          </cell>
          <cell r="AM66">
            <v>0</v>
          </cell>
          <cell r="AN66" t="str">
            <v/>
          </cell>
          <cell r="AO66" t="str">
            <v/>
          </cell>
          <cell r="AP66" t="str">
            <v/>
          </cell>
          <cell r="AQ66" t="str">
            <v/>
          </cell>
          <cell r="AR66">
            <v>0</v>
          </cell>
          <cell r="AU66" t="str">
            <v/>
          </cell>
          <cell r="AV66" t="str">
            <v xml:space="preserve"> </v>
          </cell>
          <cell r="AW66">
            <v>0</v>
          </cell>
          <cell r="AX66">
            <v>0</v>
          </cell>
          <cell r="AY66">
            <v>0</v>
          </cell>
          <cell r="AZ66">
            <v>0</v>
          </cell>
          <cell r="BA66">
            <v>0</v>
          </cell>
          <cell r="BB66">
            <v>0</v>
          </cell>
          <cell r="BC66" t="str">
            <v/>
          </cell>
          <cell r="BD66">
            <v>2</v>
          </cell>
          <cell r="BQ66">
            <v>0</v>
          </cell>
          <cell r="BR66" t="str">
            <v/>
          </cell>
        </row>
        <row r="67">
          <cell r="B67" t="str">
            <v>Bousseau Yannick</v>
          </cell>
          <cell r="C67" t="str">
            <v xml:space="preserve">Membre </v>
          </cell>
          <cell r="D67" t="str">
            <v>9,impasse de l'église Saint Cry</v>
          </cell>
          <cell r="E67">
            <v>56130</v>
          </cell>
          <cell r="F67" t="str">
            <v>Bouss</v>
          </cell>
          <cell r="G67" t="str">
            <v>Nivillac</v>
          </cell>
          <cell r="H67" t="str">
            <v>V</v>
          </cell>
          <cell r="I67">
            <v>26687</v>
          </cell>
          <cell r="J67" t="str">
            <v>Vétéran</v>
          </cell>
          <cell r="K67">
            <v>223101232</v>
          </cell>
          <cell r="L67">
            <v>663242590</v>
          </cell>
          <cell r="M67">
            <v>42</v>
          </cell>
          <cell r="AM67">
            <v>736.07299999999998</v>
          </cell>
          <cell r="AN67" t="str">
            <v>Bousseau Yannick</v>
          </cell>
          <cell r="AO67">
            <v>736.07299999999998</v>
          </cell>
          <cell r="AP67">
            <v>7</v>
          </cell>
          <cell r="AQ67">
            <v>7</v>
          </cell>
          <cell r="AR67">
            <v>0</v>
          </cell>
          <cell r="AU67" t="str">
            <v>Bousseau Yannick</v>
          </cell>
          <cell r="AV67" t="str">
            <v>yannick.bousseau@stxeurope.com</v>
          </cell>
          <cell r="AW67" t="str">
            <v>x</v>
          </cell>
          <cell r="AX67">
            <v>0</v>
          </cell>
          <cell r="AY67">
            <v>0</v>
          </cell>
          <cell r="AZ67">
            <v>0</v>
          </cell>
          <cell r="BA67">
            <v>0</v>
          </cell>
          <cell r="BB67">
            <v>0</v>
          </cell>
          <cell r="BC67" t="b">
            <v>1</v>
          </cell>
          <cell r="BD67">
            <v>2</v>
          </cell>
          <cell r="BQ67">
            <v>0</v>
          </cell>
          <cell r="BR67" t="str">
            <v/>
          </cell>
        </row>
        <row r="68">
          <cell r="B68" t="str">
            <v/>
          </cell>
          <cell r="C68" t="str">
            <v>Joueur</v>
          </cell>
          <cell r="D68" t="str">
            <v/>
          </cell>
          <cell r="E68">
            <v>56130</v>
          </cell>
          <cell r="F68" t="str">
            <v/>
          </cell>
          <cell r="G68" t="str">
            <v/>
          </cell>
          <cell r="H68" t="str">
            <v>J</v>
          </cell>
          <cell r="I68">
            <v>36182</v>
          </cell>
          <cell r="J68" t="str">
            <v>Junior</v>
          </cell>
          <cell r="K68">
            <v>299908496</v>
          </cell>
          <cell r="L68">
            <v>660099423</v>
          </cell>
          <cell r="M68" t="str">
            <v/>
          </cell>
          <cell r="AM68">
            <v>0</v>
          </cell>
          <cell r="AN68" t="str">
            <v/>
          </cell>
          <cell r="AO68" t="str">
            <v/>
          </cell>
          <cell r="AP68" t="str">
            <v/>
          </cell>
          <cell r="AQ68" t="str">
            <v/>
          </cell>
          <cell r="AR68">
            <v>0</v>
          </cell>
          <cell r="AU68" t="str">
            <v/>
          </cell>
          <cell r="AV68">
            <v>0</v>
          </cell>
          <cell r="AW68">
            <v>0</v>
          </cell>
          <cell r="AX68">
            <v>0</v>
          </cell>
          <cell r="AY68">
            <v>0</v>
          </cell>
          <cell r="AZ68">
            <v>0</v>
          </cell>
          <cell r="BA68">
            <v>0</v>
          </cell>
          <cell r="BB68">
            <v>0</v>
          </cell>
          <cell r="BC68" t="str">
            <v/>
          </cell>
          <cell r="BD68">
            <v>2</v>
          </cell>
          <cell r="BQ68">
            <v>0</v>
          </cell>
          <cell r="BR68" t="str">
            <v/>
          </cell>
        </row>
        <row r="69">
          <cell r="B69" t="str">
            <v>Mierzwa Julien</v>
          </cell>
          <cell r="C69" t="str">
            <v>Joueur</v>
          </cell>
          <cell r="D69" t="str">
            <v>Le Maguero</v>
          </cell>
          <cell r="E69">
            <v>56190</v>
          </cell>
          <cell r="F69" t="str">
            <v>Mierz</v>
          </cell>
          <cell r="G69" t="str">
            <v>Noyal Muzillac</v>
          </cell>
          <cell r="H69" t="str">
            <v>S</v>
          </cell>
          <cell r="I69">
            <v>35135</v>
          </cell>
          <cell r="J69" t="str">
            <v>Sénior</v>
          </cell>
          <cell r="K69">
            <v>297415529</v>
          </cell>
          <cell r="L69">
            <v>0</v>
          </cell>
          <cell r="M69">
            <v>19</v>
          </cell>
          <cell r="AM69">
            <v>787.07500000000005</v>
          </cell>
          <cell r="AN69" t="str">
            <v>Mierzwa Julien</v>
          </cell>
          <cell r="AO69">
            <v>787.07500000000005</v>
          </cell>
          <cell r="AP69">
            <v>7</v>
          </cell>
          <cell r="AQ69">
            <v>4</v>
          </cell>
          <cell r="AR69">
            <v>0</v>
          </cell>
          <cell r="AU69" t="str">
            <v>Mierzwa Julien</v>
          </cell>
          <cell r="AV69" t="str">
            <v>jean-jacques.mierzwa@laposte.net</v>
          </cell>
          <cell r="AW69" t="str">
            <v>x</v>
          </cell>
          <cell r="AX69">
            <v>0</v>
          </cell>
          <cell r="AY69">
            <v>0</v>
          </cell>
          <cell r="AZ69">
            <v>0</v>
          </cell>
          <cell r="BA69">
            <v>0</v>
          </cell>
          <cell r="BB69">
            <v>0</v>
          </cell>
          <cell r="BC69" t="b">
            <v>1</v>
          </cell>
          <cell r="BD69">
            <v>2</v>
          </cell>
          <cell r="BQ69">
            <v>0</v>
          </cell>
          <cell r="BR69" t="str">
            <v/>
          </cell>
        </row>
        <row r="70">
          <cell r="B70" t="str">
            <v>Guillemard Julien</v>
          </cell>
          <cell r="C70" t="str">
            <v>Joueur</v>
          </cell>
          <cell r="D70" t="str">
            <v>1 rinsquivy</v>
          </cell>
          <cell r="E70">
            <v>56190</v>
          </cell>
          <cell r="F70" t="str">
            <v>Guill</v>
          </cell>
          <cell r="G70" t="str">
            <v>Le Guerno</v>
          </cell>
          <cell r="H70" t="str">
            <v>S</v>
          </cell>
          <cell r="I70">
            <v>29738</v>
          </cell>
          <cell r="J70" t="str">
            <v>Sénior</v>
          </cell>
          <cell r="K70">
            <v>688840716</v>
          </cell>
          <cell r="L70">
            <v>0</v>
          </cell>
          <cell r="M70">
            <v>33</v>
          </cell>
          <cell r="AM70">
            <v>0</v>
          </cell>
          <cell r="AN70" t="str">
            <v>Guillemard Julien</v>
          </cell>
          <cell r="AO70" t="str">
            <v/>
          </cell>
          <cell r="AP70" t="str">
            <v/>
          </cell>
          <cell r="AQ70" t="str">
            <v/>
          </cell>
          <cell r="AR70">
            <v>0</v>
          </cell>
          <cell r="AU70" t="str">
            <v>Guillemard Julien</v>
          </cell>
          <cell r="AV70" t="str">
            <v>j.mguillemard@orange.fr</v>
          </cell>
          <cell r="AW70" t="str">
            <v>x</v>
          </cell>
          <cell r="AX70">
            <v>0</v>
          </cell>
          <cell r="AY70">
            <v>0</v>
          </cell>
          <cell r="AZ70">
            <v>0</v>
          </cell>
          <cell r="BA70">
            <v>0</v>
          </cell>
          <cell r="BB70">
            <v>0</v>
          </cell>
          <cell r="BC70" t="str">
            <v/>
          </cell>
          <cell r="BD70">
            <v>2</v>
          </cell>
          <cell r="BQ70">
            <v>0</v>
          </cell>
          <cell r="BR70" t="str">
            <v/>
          </cell>
        </row>
        <row r="71">
          <cell r="B71" t="str">
            <v>Lecossier Michel</v>
          </cell>
          <cell r="C71" t="str">
            <v>Joueur</v>
          </cell>
          <cell r="D71" t="str">
            <v>Kercadio</v>
          </cell>
          <cell r="E71">
            <v>56130</v>
          </cell>
          <cell r="F71" t="str">
            <v>Lecos</v>
          </cell>
          <cell r="G71" t="str">
            <v>Péaule</v>
          </cell>
          <cell r="H71" t="str">
            <v>V</v>
          </cell>
          <cell r="I71">
            <v>20664</v>
          </cell>
          <cell r="J71" t="str">
            <v>Vétéran</v>
          </cell>
          <cell r="K71">
            <v>297429864</v>
          </cell>
          <cell r="L71">
            <v>0</v>
          </cell>
          <cell r="M71">
            <v>58</v>
          </cell>
          <cell r="AM71">
            <v>929.077</v>
          </cell>
          <cell r="AN71" t="str">
            <v>Lecossier Michel</v>
          </cell>
          <cell r="AO71">
            <v>929.077</v>
          </cell>
          <cell r="AP71">
            <v>9</v>
          </cell>
          <cell r="AQ71">
            <v>6</v>
          </cell>
          <cell r="AR71">
            <v>0</v>
          </cell>
          <cell r="AU71" t="str">
            <v>Lecossier Michel</v>
          </cell>
          <cell r="AV71">
            <v>0</v>
          </cell>
          <cell r="AW71" t="str">
            <v>x</v>
          </cell>
          <cell r="AX71">
            <v>0</v>
          </cell>
          <cell r="AY71">
            <v>0</v>
          </cell>
          <cell r="AZ71">
            <v>0</v>
          </cell>
          <cell r="BA71">
            <v>0</v>
          </cell>
          <cell r="BB71">
            <v>0</v>
          </cell>
          <cell r="BC71" t="b">
            <v>1</v>
          </cell>
          <cell r="BD71">
            <v>2</v>
          </cell>
          <cell r="BQ71">
            <v>0</v>
          </cell>
          <cell r="BR71" t="str">
            <v/>
          </cell>
        </row>
        <row r="72">
          <cell r="B72" t="str">
            <v/>
          </cell>
          <cell r="C72" t="str">
            <v>Trésorier adjoint</v>
          </cell>
          <cell r="D72" t="str">
            <v/>
          </cell>
          <cell r="E72">
            <v>56190</v>
          </cell>
          <cell r="F72" t="str">
            <v/>
          </cell>
          <cell r="G72" t="str">
            <v/>
          </cell>
          <cell r="H72" t="str">
            <v>V</v>
          </cell>
          <cell r="I72">
            <v>26815</v>
          </cell>
          <cell r="J72" t="str">
            <v>Vétéran</v>
          </cell>
          <cell r="K72">
            <v>616920828</v>
          </cell>
          <cell r="L72">
            <v>669723680</v>
          </cell>
          <cell r="M72" t="str">
            <v/>
          </cell>
          <cell r="AM72">
            <v>0</v>
          </cell>
          <cell r="AN72" t="str">
            <v/>
          </cell>
          <cell r="AO72" t="str">
            <v/>
          </cell>
          <cell r="AP72" t="str">
            <v/>
          </cell>
          <cell r="AQ72" t="str">
            <v/>
          </cell>
          <cell r="AR72">
            <v>0</v>
          </cell>
          <cell r="AU72" t="str">
            <v/>
          </cell>
          <cell r="AV72" t="str">
            <v>patrice56130@yahoo.fr</v>
          </cell>
          <cell r="AW72">
            <v>0</v>
          </cell>
          <cell r="AX72">
            <v>0</v>
          </cell>
          <cell r="AY72">
            <v>0</v>
          </cell>
          <cell r="AZ72">
            <v>0</v>
          </cell>
          <cell r="BA72">
            <v>0</v>
          </cell>
          <cell r="BB72">
            <v>0</v>
          </cell>
          <cell r="BC72" t="str">
            <v/>
          </cell>
          <cell r="BD72">
            <v>2</v>
          </cell>
          <cell r="BQ72">
            <v>0</v>
          </cell>
          <cell r="BR72" t="str">
            <v/>
          </cell>
        </row>
        <row r="73">
          <cell r="B73" t="str">
            <v>Trin Kilian</v>
          </cell>
          <cell r="C73" t="str">
            <v>Joueur</v>
          </cell>
          <cell r="D73" t="str">
            <v>la noé</v>
          </cell>
          <cell r="E73">
            <v>56130</v>
          </cell>
          <cell r="F73" t="str">
            <v xml:space="preserve">Trin </v>
          </cell>
          <cell r="G73" t="str">
            <v>Marzan</v>
          </cell>
          <cell r="H73" t="str">
            <v>S</v>
          </cell>
          <cell r="I73">
            <v>35338</v>
          </cell>
          <cell r="J73" t="str">
            <v>Sénior</v>
          </cell>
          <cell r="K73">
            <v>299908920</v>
          </cell>
          <cell r="L73">
            <v>648327696</v>
          </cell>
          <cell r="M73">
            <v>18</v>
          </cell>
          <cell r="AM73">
            <v>1409.079</v>
          </cell>
          <cell r="AN73" t="str">
            <v>Trin Kilian</v>
          </cell>
          <cell r="AO73">
            <v>1409.079</v>
          </cell>
          <cell r="AP73">
            <v>14</v>
          </cell>
          <cell r="AQ73">
            <v>9</v>
          </cell>
          <cell r="AR73">
            <v>0</v>
          </cell>
          <cell r="AU73" t="str">
            <v>Trin Kilian</v>
          </cell>
          <cell r="AV73" t="str">
            <v>Jacques.trin@hotmail.fr</v>
          </cell>
          <cell r="AW73" t="str">
            <v>x</v>
          </cell>
          <cell r="AX73">
            <v>0</v>
          </cell>
          <cell r="AY73">
            <v>0</v>
          </cell>
          <cell r="AZ73">
            <v>0</v>
          </cell>
          <cell r="BA73">
            <v>0</v>
          </cell>
          <cell r="BB73">
            <v>0</v>
          </cell>
          <cell r="BC73" t="b">
            <v>1</v>
          </cell>
          <cell r="BD73">
            <v>2</v>
          </cell>
          <cell r="BQ73">
            <v>0</v>
          </cell>
          <cell r="BR73" t="str">
            <v/>
          </cell>
        </row>
        <row r="74">
          <cell r="B74" t="str">
            <v/>
          </cell>
          <cell r="C74" t="str">
            <v>Joueur</v>
          </cell>
          <cell r="D74" t="str">
            <v/>
          </cell>
          <cell r="E74">
            <v>56130</v>
          </cell>
          <cell r="F74" t="str">
            <v/>
          </cell>
          <cell r="G74" t="str">
            <v/>
          </cell>
          <cell r="H74" t="str">
            <v>V</v>
          </cell>
          <cell r="I74">
            <v>23230</v>
          </cell>
          <cell r="J74" t="str">
            <v>Vétéran</v>
          </cell>
          <cell r="K74">
            <v>680451588</v>
          </cell>
          <cell r="L74">
            <v>0</v>
          </cell>
          <cell r="M74" t="str">
            <v/>
          </cell>
          <cell r="AM74">
            <v>0</v>
          </cell>
          <cell r="AN74" t="str">
            <v/>
          </cell>
          <cell r="AO74" t="str">
            <v/>
          </cell>
          <cell r="AP74" t="str">
            <v/>
          </cell>
          <cell r="AQ74" t="str">
            <v/>
          </cell>
          <cell r="AR74">
            <v>0</v>
          </cell>
          <cell r="AU74" t="str">
            <v/>
          </cell>
          <cell r="AV74">
            <v>0</v>
          </cell>
          <cell r="AW74">
            <v>0</v>
          </cell>
          <cell r="AX74">
            <v>0</v>
          </cell>
          <cell r="AY74">
            <v>0</v>
          </cell>
          <cell r="AZ74">
            <v>0</v>
          </cell>
          <cell r="BA74">
            <v>0</v>
          </cell>
          <cell r="BB74">
            <v>0</v>
          </cell>
          <cell r="BC74" t="str">
            <v/>
          </cell>
          <cell r="BD74">
            <v>1</v>
          </cell>
          <cell r="BQ74">
            <v>0</v>
          </cell>
          <cell r="BR74" t="str">
            <v/>
          </cell>
        </row>
        <row r="75">
          <cell r="B75" t="str">
            <v>Fromont Lionel</v>
          </cell>
          <cell r="C75" t="str">
            <v>Joueur</v>
          </cell>
          <cell r="D75" t="str">
            <v>5, rue de la ville au vent</v>
          </cell>
          <cell r="E75">
            <v>56230</v>
          </cell>
          <cell r="F75" t="str">
            <v>Fromo</v>
          </cell>
          <cell r="G75" t="str">
            <v>Berric</v>
          </cell>
          <cell r="H75" t="str">
            <v>V</v>
          </cell>
          <cell r="I75">
            <v>24049</v>
          </cell>
          <cell r="J75" t="str">
            <v>Vétéran</v>
          </cell>
          <cell r="K75">
            <v>297410364</v>
          </cell>
          <cell r="L75">
            <v>770853907</v>
          </cell>
          <cell r="M75">
            <v>49</v>
          </cell>
          <cell r="AM75">
            <v>0</v>
          </cell>
          <cell r="AN75" t="str">
            <v>Fromont Lionel</v>
          </cell>
          <cell r="AO75" t="str">
            <v/>
          </cell>
          <cell r="AP75" t="str">
            <v/>
          </cell>
          <cell r="AQ75" t="str">
            <v/>
          </cell>
          <cell r="AR75">
            <v>0</v>
          </cell>
          <cell r="AU75" t="str">
            <v>Fromont Lionel</v>
          </cell>
          <cell r="AV75" t="str">
            <v>lionel.fromont@orange.fr</v>
          </cell>
          <cell r="AW75" t="str">
            <v>x</v>
          </cell>
          <cell r="AX75">
            <v>0</v>
          </cell>
          <cell r="AY75">
            <v>0</v>
          </cell>
          <cell r="AZ75">
            <v>0</v>
          </cell>
          <cell r="BA75">
            <v>0</v>
          </cell>
          <cell r="BB75">
            <v>0</v>
          </cell>
          <cell r="BC75" t="str">
            <v/>
          </cell>
          <cell r="BD75">
            <v>2</v>
          </cell>
          <cell r="BQ75">
            <v>0</v>
          </cell>
          <cell r="BR75" t="str">
            <v/>
          </cell>
        </row>
        <row r="76">
          <cell r="B76" t="str">
            <v>Rousseau Bertrand</v>
          </cell>
          <cell r="C76" t="str">
            <v>Joueur</v>
          </cell>
          <cell r="D76" t="str">
            <v>11 place du marché</v>
          </cell>
          <cell r="E76">
            <v>56190</v>
          </cell>
          <cell r="F76" t="str">
            <v>Rouss</v>
          </cell>
          <cell r="G76" t="str">
            <v>Muzillac</v>
          </cell>
          <cell r="H76" t="str">
            <v>V</v>
          </cell>
          <cell r="I76">
            <v>22327</v>
          </cell>
          <cell r="J76" t="str">
            <v>Vétéran</v>
          </cell>
          <cell r="K76">
            <v>699980148</v>
          </cell>
          <cell r="L76">
            <v>0</v>
          </cell>
          <cell r="M76">
            <v>54</v>
          </cell>
          <cell r="AM76">
            <v>0</v>
          </cell>
          <cell r="AN76" t="str">
            <v>Rousseau Bertrand</v>
          </cell>
          <cell r="AO76" t="str">
            <v/>
          </cell>
          <cell r="AP76" t="str">
            <v/>
          </cell>
          <cell r="AQ76" t="str">
            <v/>
          </cell>
          <cell r="AR76">
            <v>0</v>
          </cell>
          <cell r="AU76" t="str">
            <v>Rousseau Bertrand</v>
          </cell>
          <cell r="AV76">
            <v>0</v>
          </cell>
          <cell r="AW76" t="str">
            <v>x</v>
          </cell>
          <cell r="AX76">
            <v>0</v>
          </cell>
          <cell r="AY76">
            <v>0</v>
          </cell>
          <cell r="AZ76">
            <v>0</v>
          </cell>
          <cell r="BA76">
            <v>0</v>
          </cell>
          <cell r="BB76">
            <v>0</v>
          </cell>
          <cell r="BC76" t="str">
            <v/>
          </cell>
          <cell r="BD76">
            <v>2</v>
          </cell>
          <cell r="BQ76">
            <v>0</v>
          </cell>
          <cell r="BR76" t="str">
            <v/>
          </cell>
        </row>
        <row r="77">
          <cell r="B77" t="str">
            <v>Couture Nicolas</v>
          </cell>
          <cell r="C77" t="str">
            <v>Joueur</v>
          </cell>
          <cell r="D77" t="str">
            <v>1 impasse du borg néhué</v>
          </cell>
          <cell r="E77">
            <v>56130</v>
          </cell>
          <cell r="F77" t="str">
            <v>Coutu</v>
          </cell>
          <cell r="G77" t="str">
            <v>le Guerno</v>
          </cell>
          <cell r="H77" t="str">
            <v>S</v>
          </cell>
          <cell r="I77">
            <v>34014</v>
          </cell>
          <cell r="J77" t="str">
            <v>Sénior</v>
          </cell>
          <cell r="K77">
            <v>648916011</v>
          </cell>
          <cell r="L77">
            <v>297428327</v>
          </cell>
          <cell r="M77">
            <v>22</v>
          </cell>
          <cell r="AM77">
            <v>1546.0830000000001</v>
          </cell>
          <cell r="AN77" t="str">
            <v>Couture Nicolas</v>
          </cell>
          <cell r="AO77">
            <v>1546.0830000000001</v>
          </cell>
          <cell r="AP77">
            <v>15</v>
          </cell>
          <cell r="AQ77">
            <v>1</v>
          </cell>
          <cell r="AR77">
            <v>0</v>
          </cell>
          <cell r="AU77" t="str">
            <v>Couture Nicolas</v>
          </cell>
          <cell r="AV77" t="str">
            <v>couture.nicolas@hotmail.fr</v>
          </cell>
          <cell r="AW77" t="str">
            <v>x</v>
          </cell>
          <cell r="AX77">
            <v>0</v>
          </cell>
          <cell r="AY77">
            <v>0</v>
          </cell>
          <cell r="AZ77">
            <v>0</v>
          </cell>
          <cell r="BA77">
            <v>0</v>
          </cell>
          <cell r="BB77">
            <v>0</v>
          </cell>
          <cell r="BC77" t="b">
            <v>1</v>
          </cell>
          <cell r="BD77">
            <v>2</v>
          </cell>
          <cell r="BQ77">
            <v>0</v>
          </cell>
          <cell r="BR77" t="str">
            <v/>
          </cell>
        </row>
        <row r="78">
          <cell r="B78" t="str">
            <v>Le Cam Corentin</v>
          </cell>
          <cell r="C78" t="str">
            <v>Joueur</v>
          </cell>
          <cell r="D78" t="str">
            <v>2 rue des Allouettes</v>
          </cell>
          <cell r="E78">
            <v>56190</v>
          </cell>
          <cell r="F78" t="str">
            <v>Le Ca</v>
          </cell>
          <cell r="G78" t="str">
            <v>Muzillac</v>
          </cell>
          <cell r="H78" t="str">
            <v>J</v>
          </cell>
          <cell r="I78">
            <v>35598</v>
          </cell>
          <cell r="J78" t="str">
            <v>Junior</v>
          </cell>
          <cell r="K78">
            <v>256631347</v>
          </cell>
          <cell r="L78">
            <v>609742000</v>
          </cell>
          <cell r="M78">
            <v>17</v>
          </cell>
          <cell r="AM78">
            <v>649.08399999999995</v>
          </cell>
          <cell r="AN78" t="str">
            <v>Le Cam Corentin</v>
          </cell>
          <cell r="AO78">
            <v>649.08399999999995</v>
          </cell>
          <cell r="AP78">
            <v>6</v>
          </cell>
          <cell r="AQ78">
            <v>6</v>
          </cell>
          <cell r="AR78">
            <v>0</v>
          </cell>
          <cell r="AU78" t="str">
            <v>Le Cam Corentin</v>
          </cell>
          <cell r="AV78" t="str">
            <v xml:space="preserve">patrice.lecam@orange.fr </v>
          </cell>
          <cell r="AW78" t="str">
            <v>x</v>
          </cell>
          <cell r="AX78">
            <v>0</v>
          </cell>
          <cell r="AY78">
            <v>0</v>
          </cell>
          <cell r="AZ78">
            <v>0</v>
          </cell>
          <cell r="BA78">
            <v>0</v>
          </cell>
          <cell r="BB78">
            <v>0</v>
          </cell>
          <cell r="BC78" t="b">
            <v>1</v>
          </cell>
          <cell r="BD78">
            <v>2</v>
          </cell>
          <cell r="BQ78">
            <v>35598</v>
          </cell>
          <cell r="BR78" t="str">
            <v>Le Cam Corentin</v>
          </cell>
        </row>
        <row r="79">
          <cell r="B79" t="str">
            <v/>
          </cell>
          <cell r="C79" t="str">
            <v>Joueur</v>
          </cell>
          <cell r="D79" t="str">
            <v/>
          </cell>
          <cell r="E79">
            <v>56190</v>
          </cell>
          <cell r="F79" t="str">
            <v/>
          </cell>
          <cell r="G79" t="str">
            <v/>
          </cell>
          <cell r="H79" t="str">
            <v>S</v>
          </cell>
          <cell r="I79">
            <v>33066</v>
          </cell>
          <cell r="J79" t="str">
            <v>Sénior</v>
          </cell>
          <cell r="K79">
            <v>671921171</v>
          </cell>
          <cell r="L79">
            <v>0</v>
          </cell>
          <cell r="M79" t="str">
            <v/>
          </cell>
          <cell r="AM79">
            <v>0</v>
          </cell>
          <cell r="AN79" t="str">
            <v/>
          </cell>
          <cell r="AO79" t="str">
            <v/>
          </cell>
          <cell r="AP79" t="str">
            <v/>
          </cell>
          <cell r="AQ79" t="str">
            <v/>
          </cell>
          <cell r="AR79">
            <v>0</v>
          </cell>
          <cell r="AU79" t="str">
            <v/>
          </cell>
          <cell r="AV79">
            <v>0</v>
          </cell>
          <cell r="AW79">
            <v>0</v>
          </cell>
          <cell r="AX79">
            <v>0</v>
          </cell>
          <cell r="AY79">
            <v>0</v>
          </cell>
          <cell r="AZ79">
            <v>0</v>
          </cell>
          <cell r="BA79">
            <v>0</v>
          </cell>
          <cell r="BB79">
            <v>0</v>
          </cell>
          <cell r="BC79" t="str">
            <v/>
          </cell>
          <cell r="BD79">
            <v>2</v>
          </cell>
          <cell r="BQ79">
            <v>0</v>
          </cell>
          <cell r="BR79" t="str">
            <v/>
          </cell>
        </row>
        <row r="80">
          <cell r="B80" t="str">
            <v>Roszak Martin</v>
          </cell>
          <cell r="C80" t="str">
            <v>Joueur</v>
          </cell>
          <cell r="D80" t="str">
            <v>25 lotissement du pré neuf</v>
          </cell>
          <cell r="E80">
            <v>56130</v>
          </cell>
          <cell r="F80" t="str">
            <v>Rosza</v>
          </cell>
          <cell r="G80" t="str">
            <v>Nivillac</v>
          </cell>
          <cell r="H80" t="str">
            <v>J</v>
          </cell>
          <cell r="I80">
            <v>36422</v>
          </cell>
          <cell r="J80" t="str">
            <v>Junior</v>
          </cell>
          <cell r="K80">
            <v>299908533</v>
          </cell>
          <cell r="L80">
            <v>670339983</v>
          </cell>
          <cell r="M80">
            <v>15</v>
          </cell>
          <cell r="AM80">
            <v>1031.086</v>
          </cell>
          <cell r="AN80" t="str">
            <v>Roszak Martin</v>
          </cell>
          <cell r="AO80">
            <v>1031.086</v>
          </cell>
          <cell r="AP80">
            <v>10</v>
          </cell>
          <cell r="AQ80">
            <v>2</v>
          </cell>
          <cell r="AR80">
            <v>0</v>
          </cell>
          <cell r="AU80" t="str">
            <v>Roszak Martin</v>
          </cell>
          <cell r="AV80">
            <v>0</v>
          </cell>
          <cell r="AW80" t="str">
            <v>x</v>
          </cell>
          <cell r="AX80">
            <v>0</v>
          </cell>
          <cell r="AY80">
            <v>0</v>
          </cell>
          <cell r="AZ80">
            <v>0</v>
          </cell>
          <cell r="BA80">
            <v>0</v>
          </cell>
          <cell r="BB80">
            <v>0</v>
          </cell>
          <cell r="BC80" t="b">
            <v>1</v>
          </cell>
          <cell r="BD80">
            <v>2</v>
          </cell>
          <cell r="BQ80">
            <v>36422</v>
          </cell>
          <cell r="BR80" t="str">
            <v>Roszak Martin</v>
          </cell>
        </row>
        <row r="81">
          <cell r="B81" t="str">
            <v>Roszak Clément</v>
          </cell>
          <cell r="C81" t="str">
            <v>Joueur</v>
          </cell>
          <cell r="D81" t="str">
            <v>25 lotissement du pré neuf</v>
          </cell>
          <cell r="E81">
            <v>56130</v>
          </cell>
          <cell r="F81" t="str">
            <v>Rosza</v>
          </cell>
          <cell r="G81" t="str">
            <v>Nivillac</v>
          </cell>
          <cell r="H81" t="str">
            <v>S</v>
          </cell>
          <cell r="I81">
            <v>34119</v>
          </cell>
          <cell r="J81" t="str">
            <v>Sénior</v>
          </cell>
          <cell r="K81">
            <v>299908533</v>
          </cell>
          <cell r="L81">
            <v>688429710</v>
          </cell>
          <cell r="M81">
            <v>21</v>
          </cell>
          <cell r="AM81">
            <v>1426.087</v>
          </cell>
          <cell r="AN81" t="str">
            <v>Roszak Clément</v>
          </cell>
          <cell r="AO81">
            <v>1426.087</v>
          </cell>
          <cell r="AP81">
            <v>14</v>
          </cell>
          <cell r="AQ81">
            <v>2</v>
          </cell>
          <cell r="AR81">
            <v>0</v>
          </cell>
          <cell r="AU81" t="str">
            <v>Roszak Clément</v>
          </cell>
          <cell r="AV81" t="str">
            <v>rgattuso.roszak@orange.fr</v>
          </cell>
          <cell r="AW81" t="str">
            <v>x</v>
          </cell>
          <cell r="AX81">
            <v>0</v>
          </cell>
          <cell r="AY81">
            <v>0</v>
          </cell>
          <cell r="AZ81">
            <v>0</v>
          </cell>
          <cell r="BA81">
            <v>0</v>
          </cell>
          <cell r="BB81">
            <v>0</v>
          </cell>
          <cell r="BC81" t="b">
            <v>1</v>
          </cell>
          <cell r="BD81">
            <v>2</v>
          </cell>
          <cell r="BQ81">
            <v>0</v>
          </cell>
          <cell r="BR81" t="str">
            <v/>
          </cell>
        </row>
        <row r="82">
          <cell r="B82" t="str">
            <v>Siloret Marie</v>
          </cell>
          <cell r="C82" t="str">
            <v>Joueur</v>
          </cell>
          <cell r="D82" t="str">
            <v>3 rue Pasteur</v>
          </cell>
          <cell r="E82">
            <v>56190</v>
          </cell>
          <cell r="F82" t="str">
            <v>Silor</v>
          </cell>
          <cell r="G82" t="str">
            <v>Muzillac</v>
          </cell>
          <cell r="H82" t="str">
            <v>V</v>
          </cell>
          <cell r="I82">
            <v>21667.01</v>
          </cell>
          <cell r="J82" t="str">
            <v>Vétéran</v>
          </cell>
          <cell r="K82">
            <v>631348416</v>
          </cell>
          <cell r="L82">
            <v>0</v>
          </cell>
          <cell r="M82">
            <v>56</v>
          </cell>
          <cell r="AM82">
            <v>0</v>
          </cell>
          <cell r="AN82" t="str">
            <v>Siloret Marie</v>
          </cell>
          <cell r="AO82" t="str">
            <v/>
          </cell>
          <cell r="AP82" t="str">
            <v/>
          </cell>
          <cell r="AQ82" t="str">
            <v/>
          </cell>
          <cell r="AR82">
            <v>0</v>
          </cell>
          <cell r="AU82" t="str">
            <v>Siloret Marie</v>
          </cell>
          <cell r="AV82" t="str">
            <v>msiloret@laposte.net</v>
          </cell>
          <cell r="AW82" t="str">
            <v>x</v>
          </cell>
          <cell r="AX82">
            <v>0</v>
          </cell>
          <cell r="AY82">
            <v>0</v>
          </cell>
          <cell r="AZ82">
            <v>0</v>
          </cell>
          <cell r="BA82">
            <v>0</v>
          </cell>
          <cell r="BB82">
            <v>0</v>
          </cell>
          <cell r="BC82" t="str">
            <v/>
          </cell>
          <cell r="BD82">
            <v>2</v>
          </cell>
          <cell r="BQ82">
            <v>0</v>
          </cell>
          <cell r="BR82" t="str">
            <v/>
          </cell>
        </row>
        <row r="83">
          <cell r="B83" t="str">
            <v>Simon Titouan</v>
          </cell>
          <cell r="C83">
            <v>0</v>
          </cell>
          <cell r="D83" t="str">
            <v>impasse des marais Bétahon</v>
          </cell>
          <cell r="E83">
            <v>56190</v>
          </cell>
          <cell r="F83" t="str">
            <v>Simon</v>
          </cell>
          <cell r="G83" t="str">
            <v>Ambon</v>
          </cell>
          <cell r="H83" t="str">
            <v>M</v>
          </cell>
          <cell r="I83">
            <v>37727</v>
          </cell>
          <cell r="J83" t="str">
            <v>Minime</v>
          </cell>
          <cell r="K83">
            <v>297486943</v>
          </cell>
          <cell r="L83">
            <v>0</v>
          </cell>
          <cell r="M83">
            <v>12</v>
          </cell>
          <cell r="AM83">
            <v>500.089</v>
          </cell>
          <cell r="AN83" t="str">
            <v>Simon Titouan</v>
          </cell>
          <cell r="AO83">
            <v>500.089</v>
          </cell>
          <cell r="AP83">
            <v>5</v>
          </cell>
          <cell r="AQ83">
            <v>9</v>
          </cell>
          <cell r="AR83">
            <v>0</v>
          </cell>
          <cell r="AU83" t="str">
            <v>Simon Titouan</v>
          </cell>
          <cell r="AV83">
            <v>0</v>
          </cell>
          <cell r="AW83" t="str">
            <v>x</v>
          </cell>
          <cell r="AX83">
            <v>0</v>
          </cell>
          <cell r="AY83">
            <v>0</v>
          </cell>
          <cell r="AZ83">
            <v>0</v>
          </cell>
          <cell r="BA83">
            <v>0</v>
          </cell>
          <cell r="BB83">
            <v>0</v>
          </cell>
          <cell r="BC83" t="b">
            <v>1</v>
          </cell>
          <cell r="BD83">
            <v>2</v>
          </cell>
          <cell r="BQ83">
            <v>37727</v>
          </cell>
          <cell r="BR83" t="str">
            <v>Simon Titouan</v>
          </cell>
        </row>
        <row r="84">
          <cell r="B84" t="str">
            <v>Nicolas Jérémy</v>
          </cell>
          <cell r="C84" t="str">
            <v>Joueur</v>
          </cell>
          <cell r="D84" t="str">
            <v>4 allée des courlis</v>
          </cell>
          <cell r="E84">
            <v>56190</v>
          </cell>
          <cell r="F84" t="str">
            <v>Nicol</v>
          </cell>
          <cell r="G84" t="str">
            <v>La Trinité Surzur</v>
          </cell>
          <cell r="H84" t="str">
            <v>S</v>
          </cell>
          <cell r="I84">
            <v>31755</v>
          </cell>
          <cell r="J84" t="str">
            <v>Sénior</v>
          </cell>
          <cell r="K84">
            <v>680961173</v>
          </cell>
          <cell r="L84">
            <v>0</v>
          </cell>
          <cell r="M84">
            <v>28</v>
          </cell>
          <cell r="AM84">
            <v>1518.09</v>
          </cell>
          <cell r="AN84" t="str">
            <v>Nicolas Jérémy</v>
          </cell>
          <cell r="AO84">
            <v>1518.09</v>
          </cell>
          <cell r="AP84">
            <v>15</v>
          </cell>
          <cell r="AQ84">
            <v>2</v>
          </cell>
          <cell r="AR84">
            <v>0</v>
          </cell>
          <cell r="AU84" t="str">
            <v>Nicolas Jérémy</v>
          </cell>
          <cell r="AV84" t="str">
            <v>jeremy-nicolas@hotmail.fr</v>
          </cell>
          <cell r="AW84" t="str">
            <v>x</v>
          </cell>
          <cell r="AX84">
            <v>0</v>
          </cell>
          <cell r="AY84">
            <v>0</v>
          </cell>
          <cell r="AZ84">
            <v>0</v>
          </cell>
          <cell r="BA84">
            <v>0</v>
          </cell>
          <cell r="BB84">
            <v>0</v>
          </cell>
          <cell r="BC84" t="b">
            <v>1</v>
          </cell>
          <cell r="BD84">
            <v>2</v>
          </cell>
          <cell r="BQ84">
            <v>0</v>
          </cell>
          <cell r="BR84" t="str">
            <v/>
          </cell>
        </row>
        <row r="85">
          <cell r="B85" t="str">
            <v/>
          </cell>
          <cell r="C85" t="str">
            <v>Joueur</v>
          </cell>
          <cell r="D85" t="str">
            <v/>
          </cell>
          <cell r="E85">
            <v>56190</v>
          </cell>
          <cell r="F85" t="str">
            <v/>
          </cell>
          <cell r="G85" t="str">
            <v/>
          </cell>
          <cell r="H85" t="str">
            <v>C</v>
          </cell>
          <cell r="I85">
            <v>36679</v>
          </cell>
          <cell r="J85" t="str">
            <v>Cadet</v>
          </cell>
          <cell r="K85">
            <v>0</v>
          </cell>
          <cell r="L85">
            <v>0</v>
          </cell>
          <cell r="M85" t="str">
            <v/>
          </cell>
          <cell r="AM85">
            <v>0</v>
          </cell>
          <cell r="AN85" t="str">
            <v/>
          </cell>
          <cell r="AO85" t="str">
            <v/>
          </cell>
          <cell r="AP85" t="str">
            <v/>
          </cell>
          <cell r="AQ85" t="str">
            <v/>
          </cell>
          <cell r="AR85">
            <v>0</v>
          </cell>
          <cell r="AU85" t="str">
            <v/>
          </cell>
          <cell r="AV85">
            <v>0</v>
          </cell>
          <cell r="AW85">
            <v>0</v>
          </cell>
          <cell r="AX85">
            <v>0</v>
          </cell>
          <cell r="AY85">
            <v>0</v>
          </cell>
          <cell r="AZ85">
            <v>0</v>
          </cell>
          <cell r="BA85">
            <v>0</v>
          </cell>
          <cell r="BB85">
            <v>0</v>
          </cell>
          <cell r="BC85" t="str">
            <v/>
          </cell>
          <cell r="BD85">
            <v>2</v>
          </cell>
          <cell r="BQ85">
            <v>0</v>
          </cell>
          <cell r="BR85" t="str">
            <v/>
          </cell>
        </row>
        <row r="86">
          <cell r="B86" t="str">
            <v>Ravel Serge</v>
          </cell>
          <cell r="C86" t="str">
            <v>Joueur</v>
          </cell>
          <cell r="D86" t="str">
            <v>Toulan</v>
          </cell>
          <cell r="E86">
            <v>56190</v>
          </cell>
          <cell r="F86" t="str">
            <v>Ravel</v>
          </cell>
          <cell r="G86" t="str">
            <v>Arzal</v>
          </cell>
          <cell r="H86" t="str">
            <v>V</v>
          </cell>
          <cell r="I86">
            <v>26765</v>
          </cell>
          <cell r="J86" t="str">
            <v>Vétéran</v>
          </cell>
          <cell r="K86">
            <v>608283040</v>
          </cell>
          <cell r="L86">
            <v>0</v>
          </cell>
          <cell r="M86">
            <v>42</v>
          </cell>
          <cell r="AM86">
            <v>499.84199999999998</v>
          </cell>
          <cell r="AN86" t="str">
            <v>Ravel Serge</v>
          </cell>
          <cell r="AO86">
            <v>499.84199999999998</v>
          </cell>
          <cell r="AP86" t="str">
            <v>NC</v>
          </cell>
          <cell r="AQ86">
            <v>8</v>
          </cell>
          <cell r="AR86">
            <v>0</v>
          </cell>
          <cell r="AU86" t="str">
            <v>Ravel Serge</v>
          </cell>
          <cell r="AV86">
            <v>0</v>
          </cell>
          <cell r="AW86" t="str">
            <v>x</v>
          </cell>
          <cell r="AX86">
            <v>0</v>
          </cell>
          <cell r="AY86">
            <v>0</v>
          </cell>
          <cell r="AZ86">
            <v>0</v>
          </cell>
          <cell r="BA86">
            <v>0</v>
          </cell>
          <cell r="BB86">
            <v>0</v>
          </cell>
          <cell r="BC86" t="b">
            <v>1</v>
          </cell>
          <cell r="BD86">
            <v>2</v>
          </cell>
          <cell r="BQ86">
            <v>0</v>
          </cell>
          <cell r="BR86" t="str">
            <v/>
          </cell>
        </row>
        <row r="87">
          <cell r="B87" t="str">
            <v/>
          </cell>
          <cell r="C87">
            <v>0</v>
          </cell>
          <cell r="D87" t="str">
            <v/>
          </cell>
          <cell r="E87">
            <v>56190</v>
          </cell>
          <cell r="F87" t="str">
            <v/>
          </cell>
          <cell r="G87" t="str">
            <v/>
          </cell>
          <cell r="H87" t="str">
            <v>J</v>
          </cell>
          <cell r="I87">
            <v>36526</v>
          </cell>
          <cell r="J87" t="str">
            <v>Junior</v>
          </cell>
          <cell r="K87">
            <v>0</v>
          </cell>
          <cell r="L87">
            <v>0</v>
          </cell>
          <cell r="M87" t="str">
            <v/>
          </cell>
          <cell r="AM87">
            <v>0</v>
          </cell>
          <cell r="AN87" t="str">
            <v/>
          </cell>
          <cell r="AO87" t="str">
            <v/>
          </cell>
          <cell r="AP87" t="str">
            <v/>
          </cell>
          <cell r="AQ87" t="str">
            <v/>
          </cell>
          <cell r="AR87">
            <v>0</v>
          </cell>
          <cell r="AU87" t="str">
            <v/>
          </cell>
          <cell r="AV87">
            <v>0</v>
          </cell>
          <cell r="AW87">
            <v>0</v>
          </cell>
          <cell r="AX87">
            <v>0</v>
          </cell>
          <cell r="AY87">
            <v>0</v>
          </cell>
          <cell r="AZ87">
            <v>0</v>
          </cell>
          <cell r="BA87">
            <v>0</v>
          </cell>
          <cell r="BB87">
            <v>0</v>
          </cell>
          <cell r="BC87" t="str">
            <v/>
          </cell>
          <cell r="BD87">
            <v>2</v>
          </cell>
          <cell r="BQ87">
            <v>0</v>
          </cell>
          <cell r="BR87" t="str">
            <v/>
          </cell>
        </row>
        <row r="88">
          <cell r="B88" t="str">
            <v>Cojean Gwendal</v>
          </cell>
          <cell r="C88">
            <v>0</v>
          </cell>
          <cell r="D88" t="str">
            <v>12 rue des mésanges</v>
          </cell>
          <cell r="E88">
            <v>56190</v>
          </cell>
          <cell r="F88" t="str">
            <v>Cojea</v>
          </cell>
          <cell r="G88" t="str">
            <v>Muzillac</v>
          </cell>
          <cell r="H88" t="str">
            <v>M</v>
          </cell>
          <cell r="I88">
            <v>37830</v>
          </cell>
          <cell r="J88" t="str">
            <v>Minime</v>
          </cell>
          <cell r="K88">
            <v>297483127</v>
          </cell>
          <cell r="L88">
            <v>0</v>
          </cell>
          <cell r="M88">
            <v>11</v>
          </cell>
          <cell r="AM88">
            <v>499.59399999999999</v>
          </cell>
          <cell r="AN88" t="str">
            <v>Cojean Gwendal</v>
          </cell>
          <cell r="AO88">
            <v>499.59399999999999</v>
          </cell>
          <cell r="AP88" t="str">
            <v>NC</v>
          </cell>
          <cell r="AQ88">
            <v>9</v>
          </cell>
          <cell r="AR88">
            <v>0</v>
          </cell>
          <cell r="AU88" t="str">
            <v>Cojean Gwendal</v>
          </cell>
          <cell r="AV88" t="str">
            <v>ccojeanljan@orange.fr</v>
          </cell>
          <cell r="AW88" t="str">
            <v>x</v>
          </cell>
          <cell r="AX88">
            <v>0</v>
          </cell>
          <cell r="AY88">
            <v>0</v>
          </cell>
          <cell r="AZ88">
            <v>0</v>
          </cell>
          <cell r="BA88">
            <v>0</v>
          </cell>
          <cell r="BB88">
            <v>0</v>
          </cell>
          <cell r="BC88" t="b">
            <v>1</v>
          </cell>
          <cell r="BD88">
            <v>2</v>
          </cell>
          <cell r="BQ88">
            <v>37830</v>
          </cell>
          <cell r="BR88" t="str">
            <v>Cojean Gwendal</v>
          </cell>
        </row>
        <row r="89">
          <cell r="B89" t="str">
            <v>Flégeau Matthieu</v>
          </cell>
          <cell r="C89" t="str">
            <v xml:space="preserve">Membre </v>
          </cell>
          <cell r="D89" t="str">
            <v>8 rue du presbytère</v>
          </cell>
          <cell r="E89">
            <v>56190</v>
          </cell>
          <cell r="F89" t="str">
            <v>Flége</v>
          </cell>
          <cell r="G89" t="str">
            <v>Le Guerno</v>
          </cell>
          <cell r="H89" t="str">
            <v>S</v>
          </cell>
          <cell r="I89">
            <v>30433</v>
          </cell>
          <cell r="J89" t="str">
            <v>Sénior</v>
          </cell>
          <cell r="K89">
            <v>297439572</v>
          </cell>
          <cell r="L89">
            <v>680985052</v>
          </cell>
          <cell r="M89">
            <v>32</v>
          </cell>
          <cell r="AM89">
            <v>1740.095</v>
          </cell>
          <cell r="AN89" t="str">
            <v>Flégeau Matthieu</v>
          </cell>
          <cell r="AO89">
            <v>1740.095</v>
          </cell>
          <cell r="AP89">
            <v>17</v>
          </cell>
          <cell r="AQ89">
            <v>1</v>
          </cell>
          <cell r="AR89" t="str">
            <v>x</v>
          </cell>
          <cell r="AU89" t="str">
            <v>Flégeau Matthieu</v>
          </cell>
          <cell r="AV89" t="str">
            <v>nym.flegeau@gmail.com</v>
          </cell>
          <cell r="AW89" t="str">
            <v>x</v>
          </cell>
          <cell r="AX89">
            <v>0</v>
          </cell>
          <cell r="AY89">
            <v>0</v>
          </cell>
          <cell r="AZ89">
            <v>0</v>
          </cell>
          <cell r="BA89">
            <v>0</v>
          </cell>
          <cell r="BB89">
            <v>0</v>
          </cell>
          <cell r="BC89" t="b">
            <v>1</v>
          </cell>
          <cell r="BD89">
            <v>2</v>
          </cell>
          <cell r="BQ89">
            <v>0</v>
          </cell>
          <cell r="BR89" t="str">
            <v/>
          </cell>
        </row>
        <row r="90">
          <cell r="B90" t="str">
            <v>Leppert Arnaud</v>
          </cell>
          <cell r="C90" t="str">
            <v>Joueur</v>
          </cell>
          <cell r="D90" t="str">
            <v>Le Veloux</v>
          </cell>
          <cell r="E90">
            <v>56190</v>
          </cell>
          <cell r="F90" t="str">
            <v>Leppe</v>
          </cell>
          <cell r="G90" t="str">
            <v>Muzillac</v>
          </cell>
          <cell r="H90" t="str">
            <v>M</v>
          </cell>
          <cell r="I90">
            <v>37981</v>
          </cell>
          <cell r="J90" t="str">
            <v>Minime</v>
          </cell>
          <cell r="K90">
            <v>638810381</v>
          </cell>
          <cell r="L90">
            <v>0</v>
          </cell>
          <cell r="M90">
            <v>11</v>
          </cell>
          <cell r="AM90">
            <v>0</v>
          </cell>
          <cell r="AN90" t="str">
            <v>Leppert Arnaud</v>
          </cell>
          <cell r="AO90" t="str">
            <v/>
          </cell>
          <cell r="AP90" t="str">
            <v/>
          </cell>
          <cell r="AQ90" t="str">
            <v/>
          </cell>
          <cell r="AR90">
            <v>0</v>
          </cell>
          <cell r="AU90" t="str">
            <v>Leppert Arnaud</v>
          </cell>
          <cell r="AV90" t="str">
            <v>danielle.leppert@wanadoo.fr</v>
          </cell>
          <cell r="AW90" t="str">
            <v>x</v>
          </cell>
          <cell r="AX90">
            <v>0</v>
          </cell>
          <cell r="AY90">
            <v>0</v>
          </cell>
          <cell r="AZ90">
            <v>0</v>
          </cell>
          <cell r="BA90">
            <v>0</v>
          </cell>
          <cell r="BB90">
            <v>0</v>
          </cell>
          <cell r="BC90" t="str">
            <v/>
          </cell>
          <cell r="BD90">
            <v>2</v>
          </cell>
          <cell r="BQ90">
            <v>0</v>
          </cell>
          <cell r="BR90" t="str">
            <v/>
          </cell>
        </row>
        <row r="91">
          <cell r="B91">
            <v>0</v>
          </cell>
          <cell r="C91">
            <v>0</v>
          </cell>
          <cell r="D91">
            <v>0</v>
          </cell>
          <cell r="E91">
            <v>0</v>
          </cell>
          <cell r="F91">
            <v>0</v>
          </cell>
          <cell r="G91">
            <v>0</v>
          </cell>
          <cell r="H91">
            <v>0</v>
          </cell>
          <cell r="I91">
            <v>0</v>
          </cell>
          <cell r="J91">
            <v>0</v>
          </cell>
          <cell r="K91">
            <v>0</v>
          </cell>
          <cell r="L91">
            <v>0</v>
          </cell>
          <cell r="M91">
            <v>0</v>
          </cell>
          <cell r="AM91">
            <v>0</v>
          </cell>
          <cell r="AN91">
            <v>0</v>
          </cell>
          <cell r="AO91">
            <v>0</v>
          </cell>
          <cell r="AP91">
            <v>0</v>
          </cell>
          <cell r="AQ91">
            <v>0</v>
          </cell>
          <cell r="AR91">
            <v>0</v>
          </cell>
          <cell r="AU91">
            <v>0</v>
          </cell>
          <cell r="AV91">
            <v>0</v>
          </cell>
          <cell r="AW91">
            <v>0</v>
          </cell>
          <cell r="AX91">
            <v>0</v>
          </cell>
          <cell r="AY91">
            <v>0</v>
          </cell>
          <cell r="AZ91">
            <v>0</v>
          </cell>
          <cell r="BA91">
            <v>0</v>
          </cell>
          <cell r="BB91">
            <v>0</v>
          </cell>
          <cell r="BC91">
            <v>0</v>
          </cell>
          <cell r="BD91">
            <v>0</v>
          </cell>
          <cell r="BQ91">
            <v>0</v>
          </cell>
          <cell r="BR91">
            <v>0</v>
          </cell>
        </row>
        <row r="92">
          <cell r="B92">
            <v>0</v>
          </cell>
          <cell r="C92">
            <v>0</v>
          </cell>
          <cell r="D92">
            <v>0</v>
          </cell>
          <cell r="E92">
            <v>0</v>
          </cell>
          <cell r="F92">
            <v>0</v>
          </cell>
          <cell r="G92">
            <v>0</v>
          </cell>
          <cell r="H92">
            <v>0</v>
          </cell>
          <cell r="I92">
            <v>0</v>
          </cell>
          <cell r="J92">
            <v>0</v>
          </cell>
          <cell r="K92">
            <v>0</v>
          </cell>
          <cell r="L92">
            <v>0</v>
          </cell>
          <cell r="M92">
            <v>0</v>
          </cell>
          <cell r="AM92">
            <v>0</v>
          </cell>
          <cell r="AN92">
            <v>0</v>
          </cell>
          <cell r="AO92">
            <v>0</v>
          </cell>
          <cell r="AP92">
            <v>0</v>
          </cell>
          <cell r="AQ92">
            <v>0</v>
          </cell>
          <cell r="AR92">
            <v>0</v>
          </cell>
          <cell r="AU92">
            <v>0</v>
          </cell>
          <cell r="AV92">
            <v>0</v>
          </cell>
          <cell r="AW92">
            <v>0</v>
          </cell>
          <cell r="AX92">
            <v>0</v>
          </cell>
          <cell r="AY92">
            <v>0</v>
          </cell>
          <cell r="AZ92">
            <v>0</v>
          </cell>
          <cell r="BA92">
            <v>0</v>
          </cell>
          <cell r="BB92">
            <v>0</v>
          </cell>
          <cell r="BC92">
            <v>0</v>
          </cell>
          <cell r="BD92">
            <v>0</v>
          </cell>
          <cell r="BQ92">
            <v>0</v>
          </cell>
          <cell r="BR92">
            <v>0</v>
          </cell>
        </row>
        <row r="93">
          <cell r="B93">
            <v>0</v>
          </cell>
          <cell r="C93">
            <v>0</v>
          </cell>
          <cell r="D93">
            <v>0</v>
          </cell>
          <cell r="E93">
            <v>0</v>
          </cell>
          <cell r="F93">
            <v>0</v>
          </cell>
          <cell r="G93">
            <v>0</v>
          </cell>
          <cell r="H93">
            <v>0</v>
          </cell>
          <cell r="I93">
            <v>0</v>
          </cell>
          <cell r="J93">
            <v>0</v>
          </cell>
          <cell r="K93">
            <v>0</v>
          </cell>
          <cell r="L93">
            <v>0</v>
          </cell>
          <cell r="M93">
            <v>0</v>
          </cell>
          <cell r="AM93">
            <v>0</v>
          </cell>
          <cell r="AN93">
            <v>0</v>
          </cell>
          <cell r="AO93">
            <v>0</v>
          </cell>
          <cell r="AP93">
            <v>0</v>
          </cell>
          <cell r="AQ93">
            <v>0</v>
          </cell>
          <cell r="AR93">
            <v>0</v>
          </cell>
          <cell r="AU93">
            <v>0</v>
          </cell>
          <cell r="AV93">
            <v>0</v>
          </cell>
          <cell r="AW93">
            <v>0</v>
          </cell>
          <cell r="AX93">
            <v>0</v>
          </cell>
          <cell r="AY93">
            <v>0</v>
          </cell>
          <cell r="AZ93">
            <v>0</v>
          </cell>
          <cell r="BA93">
            <v>0</v>
          </cell>
          <cell r="BB93">
            <v>0</v>
          </cell>
          <cell r="BC93">
            <v>0</v>
          </cell>
          <cell r="BD93">
            <v>0</v>
          </cell>
          <cell r="BQ93">
            <v>0</v>
          </cell>
          <cell r="BR93">
            <v>0</v>
          </cell>
        </row>
        <row r="94">
          <cell r="B94">
            <v>0</v>
          </cell>
          <cell r="C94">
            <v>0</v>
          </cell>
          <cell r="D94">
            <v>0</v>
          </cell>
          <cell r="E94">
            <v>0</v>
          </cell>
          <cell r="F94">
            <v>0</v>
          </cell>
          <cell r="G94">
            <v>0</v>
          </cell>
          <cell r="H94">
            <v>0</v>
          </cell>
          <cell r="I94">
            <v>0</v>
          </cell>
          <cell r="J94">
            <v>0</v>
          </cell>
          <cell r="K94">
            <v>0</v>
          </cell>
          <cell r="L94">
            <v>0</v>
          </cell>
          <cell r="M94">
            <v>0</v>
          </cell>
          <cell r="AM94">
            <v>0</v>
          </cell>
          <cell r="AN94">
            <v>0</v>
          </cell>
          <cell r="AO94">
            <v>0</v>
          </cell>
          <cell r="AP94">
            <v>0</v>
          </cell>
          <cell r="AQ94">
            <v>0</v>
          </cell>
          <cell r="AR94">
            <v>0</v>
          </cell>
          <cell r="AU94">
            <v>0</v>
          </cell>
          <cell r="AV94">
            <v>0</v>
          </cell>
          <cell r="AW94">
            <v>0</v>
          </cell>
          <cell r="AX94">
            <v>0</v>
          </cell>
          <cell r="AY94">
            <v>0</v>
          </cell>
          <cell r="AZ94">
            <v>0</v>
          </cell>
          <cell r="BA94">
            <v>0</v>
          </cell>
          <cell r="BB94">
            <v>0</v>
          </cell>
          <cell r="BC94">
            <v>0</v>
          </cell>
          <cell r="BD94">
            <v>0</v>
          </cell>
          <cell r="BQ94">
            <v>0</v>
          </cell>
          <cell r="BR94">
            <v>0</v>
          </cell>
        </row>
        <row r="95">
          <cell r="B95">
            <v>0</v>
          </cell>
          <cell r="C95">
            <v>0</v>
          </cell>
          <cell r="D95">
            <v>0</v>
          </cell>
          <cell r="E95">
            <v>0</v>
          </cell>
          <cell r="F95">
            <v>0</v>
          </cell>
          <cell r="G95">
            <v>0</v>
          </cell>
          <cell r="H95">
            <v>0</v>
          </cell>
          <cell r="I95">
            <v>0</v>
          </cell>
          <cell r="J95">
            <v>0</v>
          </cell>
          <cell r="K95">
            <v>0</v>
          </cell>
          <cell r="L95">
            <v>0</v>
          </cell>
          <cell r="M95">
            <v>0</v>
          </cell>
          <cell r="AM95">
            <v>0</v>
          </cell>
          <cell r="AN95">
            <v>0</v>
          </cell>
          <cell r="AO95">
            <v>0</v>
          </cell>
          <cell r="AP95">
            <v>0</v>
          </cell>
          <cell r="AQ95">
            <v>0</v>
          </cell>
          <cell r="AR95">
            <v>0</v>
          </cell>
          <cell r="AU95">
            <v>0</v>
          </cell>
          <cell r="AV95">
            <v>0</v>
          </cell>
          <cell r="AW95">
            <v>0</v>
          </cell>
          <cell r="AX95">
            <v>0</v>
          </cell>
          <cell r="AY95">
            <v>0</v>
          </cell>
          <cell r="AZ95">
            <v>0</v>
          </cell>
          <cell r="BA95">
            <v>0</v>
          </cell>
          <cell r="BB95">
            <v>0</v>
          </cell>
          <cell r="BC95">
            <v>0</v>
          </cell>
          <cell r="BD95">
            <v>0</v>
          </cell>
          <cell r="BQ95">
            <v>0</v>
          </cell>
          <cell r="BR95">
            <v>0</v>
          </cell>
        </row>
        <row r="96">
          <cell r="B96">
            <v>0</v>
          </cell>
          <cell r="C96">
            <v>0</v>
          </cell>
          <cell r="D96">
            <v>0</v>
          </cell>
          <cell r="E96">
            <v>0</v>
          </cell>
          <cell r="F96">
            <v>0</v>
          </cell>
          <cell r="G96">
            <v>0</v>
          </cell>
          <cell r="H96">
            <v>0</v>
          </cell>
          <cell r="I96">
            <v>0</v>
          </cell>
          <cell r="J96">
            <v>0</v>
          </cell>
          <cell r="K96">
            <v>0</v>
          </cell>
          <cell r="L96">
            <v>0</v>
          </cell>
          <cell r="M96">
            <v>0</v>
          </cell>
          <cell r="AM96">
            <v>0</v>
          </cell>
          <cell r="AN96">
            <v>0</v>
          </cell>
          <cell r="AO96">
            <v>0</v>
          </cell>
          <cell r="AP96">
            <v>0</v>
          </cell>
          <cell r="AQ96">
            <v>0</v>
          </cell>
          <cell r="AR96">
            <v>0</v>
          </cell>
          <cell r="AU96">
            <v>0</v>
          </cell>
          <cell r="AV96">
            <v>0</v>
          </cell>
          <cell r="AW96">
            <v>0</v>
          </cell>
          <cell r="AX96">
            <v>0</v>
          </cell>
          <cell r="AY96">
            <v>0</v>
          </cell>
          <cell r="AZ96">
            <v>0</v>
          </cell>
          <cell r="BA96">
            <v>0</v>
          </cell>
          <cell r="BB96">
            <v>0</v>
          </cell>
          <cell r="BC96">
            <v>0</v>
          </cell>
          <cell r="BD96">
            <v>0</v>
          </cell>
          <cell r="BQ96">
            <v>0</v>
          </cell>
          <cell r="BR96">
            <v>0</v>
          </cell>
        </row>
        <row r="97">
          <cell r="B97">
            <v>0</v>
          </cell>
          <cell r="C97">
            <v>0</v>
          </cell>
          <cell r="D97">
            <v>0</v>
          </cell>
          <cell r="E97">
            <v>0</v>
          </cell>
          <cell r="F97">
            <v>0</v>
          </cell>
          <cell r="G97">
            <v>0</v>
          </cell>
          <cell r="H97">
            <v>0</v>
          </cell>
          <cell r="I97">
            <v>0</v>
          </cell>
          <cell r="J97">
            <v>0</v>
          </cell>
          <cell r="K97">
            <v>0</v>
          </cell>
          <cell r="L97">
            <v>0</v>
          </cell>
          <cell r="M97">
            <v>0</v>
          </cell>
          <cell r="AM97">
            <v>0</v>
          </cell>
          <cell r="AN97">
            <v>0</v>
          </cell>
          <cell r="AO97">
            <v>0</v>
          </cell>
          <cell r="AP97">
            <v>0</v>
          </cell>
          <cell r="AQ97">
            <v>0</v>
          </cell>
          <cell r="AR97">
            <v>0</v>
          </cell>
          <cell r="AU97">
            <v>0</v>
          </cell>
          <cell r="AV97">
            <v>0</v>
          </cell>
          <cell r="AW97">
            <v>0</v>
          </cell>
          <cell r="AX97">
            <v>0</v>
          </cell>
          <cell r="AY97">
            <v>0</v>
          </cell>
          <cell r="AZ97">
            <v>0</v>
          </cell>
          <cell r="BA97">
            <v>0</v>
          </cell>
          <cell r="BB97">
            <v>0</v>
          </cell>
          <cell r="BC97">
            <v>0</v>
          </cell>
          <cell r="BD97">
            <v>0</v>
          </cell>
          <cell r="BQ97">
            <v>0</v>
          </cell>
          <cell r="BR97">
            <v>0</v>
          </cell>
        </row>
        <row r="98">
          <cell r="B98">
            <v>0</v>
          </cell>
          <cell r="C98">
            <v>0</v>
          </cell>
          <cell r="D98">
            <v>0</v>
          </cell>
          <cell r="E98">
            <v>0</v>
          </cell>
          <cell r="F98">
            <v>0</v>
          </cell>
          <cell r="G98">
            <v>0</v>
          </cell>
          <cell r="H98">
            <v>0</v>
          </cell>
          <cell r="I98">
            <v>0</v>
          </cell>
          <cell r="J98">
            <v>0</v>
          </cell>
          <cell r="K98">
            <v>0</v>
          </cell>
          <cell r="L98">
            <v>0</v>
          </cell>
          <cell r="M98">
            <v>0</v>
          </cell>
          <cell r="AM98">
            <v>0</v>
          </cell>
          <cell r="AN98">
            <v>0</v>
          </cell>
          <cell r="AO98">
            <v>0</v>
          </cell>
          <cell r="AP98">
            <v>0</v>
          </cell>
          <cell r="AQ98">
            <v>0</v>
          </cell>
          <cell r="AR98">
            <v>0</v>
          </cell>
          <cell r="AU98">
            <v>0</v>
          </cell>
          <cell r="AV98">
            <v>0</v>
          </cell>
          <cell r="AW98">
            <v>0</v>
          </cell>
          <cell r="AX98">
            <v>0</v>
          </cell>
          <cell r="AY98">
            <v>0</v>
          </cell>
          <cell r="AZ98">
            <v>0</v>
          </cell>
          <cell r="BA98">
            <v>0</v>
          </cell>
          <cell r="BB98">
            <v>0</v>
          </cell>
          <cell r="BC98">
            <v>0</v>
          </cell>
          <cell r="BD98">
            <v>0</v>
          </cell>
          <cell r="BQ98">
            <v>0</v>
          </cell>
          <cell r="BR98">
            <v>0</v>
          </cell>
        </row>
        <row r="99">
          <cell r="B99">
            <v>0</v>
          </cell>
          <cell r="C99">
            <v>0</v>
          </cell>
          <cell r="D99">
            <v>0</v>
          </cell>
          <cell r="E99">
            <v>0</v>
          </cell>
          <cell r="F99">
            <v>0</v>
          </cell>
          <cell r="G99">
            <v>0</v>
          </cell>
          <cell r="H99">
            <v>0</v>
          </cell>
          <cell r="I99">
            <v>0</v>
          </cell>
          <cell r="J99">
            <v>0</v>
          </cell>
          <cell r="K99">
            <v>0</v>
          </cell>
          <cell r="L99">
            <v>0</v>
          </cell>
          <cell r="M99">
            <v>0</v>
          </cell>
          <cell r="AM99">
            <v>0</v>
          </cell>
          <cell r="AN99">
            <v>0</v>
          </cell>
          <cell r="AO99">
            <v>0</v>
          </cell>
          <cell r="AP99">
            <v>0</v>
          </cell>
          <cell r="AQ99">
            <v>0</v>
          </cell>
          <cell r="AR99">
            <v>0</v>
          </cell>
          <cell r="AU99">
            <v>0</v>
          </cell>
          <cell r="AV99">
            <v>0</v>
          </cell>
          <cell r="AW99">
            <v>0</v>
          </cell>
          <cell r="AX99">
            <v>0</v>
          </cell>
          <cell r="AY99">
            <v>0</v>
          </cell>
          <cell r="AZ99">
            <v>0</v>
          </cell>
          <cell r="BA99">
            <v>0</v>
          </cell>
          <cell r="BB99">
            <v>0</v>
          </cell>
          <cell r="BC99">
            <v>0</v>
          </cell>
          <cell r="BD99">
            <v>0</v>
          </cell>
          <cell r="BQ99">
            <v>0</v>
          </cell>
          <cell r="BR99">
            <v>0</v>
          </cell>
        </row>
        <row r="100">
          <cell r="B100">
            <v>0</v>
          </cell>
          <cell r="C100">
            <v>0</v>
          </cell>
          <cell r="D100">
            <v>0</v>
          </cell>
          <cell r="E100">
            <v>0</v>
          </cell>
          <cell r="F100">
            <v>0</v>
          </cell>
          <cell r="G100">
            <v>0</v>
          </cell>
          <cell r="H100">
            <v>0</v>
          </cell>
          <cell r="I100">
            <v>0</v>
          </cell>
          <cell r="J100">
            <v>0</v>
          </cell>
          <cell r="K100">
            <v>0</v>
          </cell>
          <cell r="L100">
            <v>0</v>
          </cell>
          <cell r="M100" t="str">
            <v>age médian général</v>
          </cell>
          <cell r="AM100">
            <v>0</v>
          </cell>
          <cell r="AN100">
            <v>0</v>
          </cell>
          <cell r="AO100">
            <v>0</v>
          </cell>
          <cell r="AP100">
            <v>0</v>
          </cell>
          <cell r="AQ100">
            <v>0</v>
          </cell>
          <cell r="AR100">
            <v>0</v>
          </cell>
          <cell r="AU100">
            <v>0</v>
          </cell>
          <cell r="AV100">
            <v>0</v>
          </cell>
          <cell r="AW100">
            <v>0</v>
          </cell>
          <cell r="AX100">
            <v>0</v>
          </cell>
          <cell r="AY100">
            <v>0</v>
          </cell>
          <cell r="AZ100">
            <v>0</v>
          </cell>
          <cell r="BA100">
            <v>0</v>
          </cell>
          <cell r="BB100">
            <v>0</v>
          </cell>
          <cell r="BC100">
            <v>0</v>
          </cell>
          <cell r="BD100">
            <v>0</v>
          </cell>
          <cell r="BQ100">
            <v>0</v>
          </cell>
          <cell r="BR100">
            <v>0</v>
          </cell>
        </row>
        <row r="101">
          <cell r="AM101">
            <v>0</v>
          </cell>
          <cell r="AN101">
            <v>0</v>
          </cell>
          <cell r="AO101">
            <v>0</v>
          </cell>
          <cell r="AP101">
            <v>0</v>
          </cell>
          <cell r="AQ101">
            <v>0</v>
          </cell>
          <cell r="AR101">
            <v>0</v>
          </cell>
          <cell r="AU101">
            <v>0</v>
          </cell>
          <cell r="AV101">
            <v>0</v>
          </cell>
          <cell r="AW101">
            <v>0</v>
          </cell>
          <cell r="AX101">
            <v>0</v>
          </cell>
          <cell r="AY101">
            <v>0</v>
          </cell>
          <cell r="AZ101">
            <v>0</v>
          </cell>
          <cell r="BA101">
            <v>0</v>
          </cell>
          <cell r="BB101">
            <v>0</v>
          </cell>
          <cell r="BC101">
            <v>0</v>
          </cell>
          <cell r="BD101">
            <v>0</v>
          </cell>
          <cell r="BQ101">
            <v>0</v>
          </cell>
        </row>
        <row r="102">
          <cell r="AM102">
            <v>0</v>
          </cell>
          <cell r="AN102">
            <v>0</v>
          </cell>
          <cell r="AO102">
            <v>0</v>
          </cell>
          <cell r="AP102">
            <v>0</v>
          </cell>
          <cell r="AQ102">
            <v>0</v>
          </cell>
          <cell r="AR102">
            <v>0</v>
          </cell>
          <cell r="AU102">
            <v>0</v>
          </cell>
          <cell r="AV102">
            <v>0</v>
          </cell>
          <cell r="AW102">
            <v>0</v>
          </cell>
          <cell r="AX102">
            <v>0</v>
          </cell>
          <cell r="AY102">
            <v>0</v>
          </cell>
          <cell r="AZ102">
            <v>0</v>
          </cell>
          <cell r="BA102">
            <v>0</v>
          </cell>
          <cell r="BB102">
            <v>0</v>
          </cell>
          <cell r="BC102">
            <v>0</v>
          </cell>
          <cell r="BD102">
            <v>0</v>
          </cell>
          <cell r="BQ102">
            <v>0</v>
          </cell>
        </row>
        <row r="103">
          <cell r="AM103">
            <v>0</v>
          </cell>
          <cell r="AN103">
            <v>0</v>
          </cell>
          <cell r="AO103">
            <v>0</v>
          </cell>
          <cell r="AP103">
            <v>0</v>
          </cell>
          <cell r="AQ103">
            <v>0</v>
          </cell>
          <cell r="AR103">
            <v>0</v>
          </cell>
          <cell r="AU103">
            <v>0</v>
          </cell>
          <cell r="AV103">
            <v>0</v>
          </cell>
          <cell r="AW103">
            <v>0</v>
          </cell>
          <cell r="AX103">
            <v>0</v>
          </cell>
          <cell r="AY103">
            <v>0</v>
          </cell>
          <cell r="AZ103">
            <v>0</v>
          </cell>
          <cell r="BA103">
            <v>0</v>
          </cell>
          <cell r="BB103">
            <v>0</v>
          </cell>
          <cell r="BC103">
            <v>0</v>
          </cell>
          <cell r="BD103">
            <v>0</v>
          </cell>
          <cell r="BQ103">
            <v>0</v>
          </cell>
        </row>
        <row r="104">
          <cell r="AM104">
            <v>0</v>
          </cell>
          <cell r="AN104">
            <v>0</v>
          </cell>
          <cell r="AO104">
            <v>0</v>
          </cell>
          <cell r="AP104">
            <v>0</v>
          </cell>
          <cell r="AQ104">
            <v>0</v>
          </cell>
          <cell r="AR104">
            <v>0</v>
          </cell>
          <cell r="AU104">
            <v>0</v>
          </cell>
          <cell r="AV104">
            <v>0</v>
          </cell>
          <cell r="AW104">
            <v>0</v>
          </cell>
          <cell r="AX104">
            <v>0</v>
          </cell>
          <cell r="AY104">
            <v>0</v>
          </cell>
          <cell r="AZ104">
            <v>0</v>
          </cell>
          <cell r="BA104">
            <v>0</v>
          </cell>
          <cell r="BB104">
            <v>0</v>
          </cell>
          <cell r="BC104">
            <v>0</v>
          </cell>
          <cell r="BD104">
            <v>0</v>
          </cell>
          <cell r="BQ104">
            <v>0</v>
          </cell>
        </row>
      </sheetData>
      <sheetData sheetId="4">
        <row r="2">
          <cell r="F2" t="str">
            <v>2014 / 2015</v>
          </cell>
        </row>
      </sheetData>
      <sheetData sheetId="5"/>
      <sheetData sheetId="6">
        <row r="2">
          <cell r="C2">
            <v>37</v>
          </cell>
        </row>
        <row r="3">
          <cell r="C3">
            <v>45</v>
          </cell>
        </row>
        <row r="4">
          <cell r="C4">
            <v>30</v>
          </cell>
        </row>
        <row r="5">
          <cell r="C5">
            <v>39</v>
          </cell>
        </row>
        <row r="6">
          <cell r="C6">
            <v>13</v>
          </cell>
        </row>
        <row r="7">
          <cell r="C7">
            <v>20</v>
          </cell>
        </row>
        <row r="8">
          <cell r="C8">
            <v>40</v>
          </cell>
        </row>
        <row r="9">
          <cell r="C9">
            <v>63</v>
          </cell>
        </row>
        <row r="10">
          <cell r="C10">
            <v>43</v>
          </cell>
        </row>
        <row r="11">
          <cell r="C11">
            <v>41</v>
          </cell>
        </row>
        <row r="12">
          <cell r="C12">
            <v>58</v>
          </cell>
        </row>
        <row r="13">
          <cell r="C13">
            <v>42</v>
          </cell>
        </row>
        <row r="14">
          <cell r="C14">
            <v>32</v>
          </cell>
        </row>
        <row r="15">
          <cell r="C15">
            <v>23</v>
          </cell>
        </row>
        <row r="16">
          <cell r="C16">
            <v>65</v>
          </cell>
        </row>
        <row r="17">
          <cell r="C17">
            <v>9</v>
          </cell>
        </row>
        <row r="18">
          <cell r="C18">
            <v>13</v>
          </cell>
        </row>
        <row r="19">
          <cell r="C19">
            <v>45</v>
          </cell>
        </row>
        <row r="20">
          <cell r="C20">
            <v>56</v>
          </cell>
        </row>
        <row r="21">
          <cell r="C21">
            <v>56</v>
          </cell>
        </row>
        <row r="22">
          <cell r="C22">
            <v>33</v>
          </cell>
        </row>
        <row r="23">
          <cell r="C23">
            <v>39</v>
          </cell>
        </row>
        <row r="24">
          <cell r="C24">
            <v>20</v>
          </cell>
        </row>
        <row r="25">
          <cell r="C25">
            <v>18</v>
          </cell>
        </row>
        <row r="26">
          <cell r="C26">
            <v>22</v>
          </cell>
        </row>
        <row r="27">
          <cell r="C27">
            <v>24</v>
          </cell>
        </row>
        <row r="28">
          <cell r="C28">
            <v>77</v>
          </cell>
        </row>
        <row r="29">
          <cell r="C29">
            <v>57</v>
          </cell>
        </row>
        <row r="30">
          <cell r="C30">
            <v>53</v>
          </cell>
        </row>
        <row r="31">
          <cell r="C31">
            <v>32</v>
          </cell>
        </row>
        <row r="32">
          <cell r="C32">
            <v>82</v>
          </cell>
        </row>
        <row r="33">
          <cell r="C33">
            <v>113</v>
          </cell>
        </row>
        <row r="34">
          <cell r="C34">
            <v>138</v>
          </cell>
        </row>
        <row r="35">
          <cell r="C35">
            <v>93</v>
          </cell>
        </row>
        <row r="36">
          <cell r="C36">
            <v>114</v>
          </cell>
        </row>
        <row r="37">
          <cell r="C37">
            <v>92</v>
          </cell>
        </row>
        <row r="38">
          <cell r="C38">
            <v>107</v>
          </cell>
        </row>
        <row r="39">
          <cell r="C39">
            <v>108</v>
          </cell>
        </row>
        <row r="40">
          <cell r="C40">
            <v>112</v>
          </cell>
        </row>
        <row r="41">
          <cell r="C41">
            <v>88</v>
          </cell>
        </row>
        <row r="42">
          <cell r="C42">
            <v>95</v>
          </cell>
        </row>
        <row r="43">
          <cell r="C43">
            <v>94</v>
          </cell>
        </row>
        <row r="44">
          <cell r="C44">
            <v>137</v>
          </cell>
        </row>
        <row r="45">
          <cell r="C45">
            <v>209</v>
          </cell>
        </row>
        <row r="46">
          <cell r="C46">
            <v>271</v>
          </cell>
        </row>
        <row r="47">
          <cell r="C47">
            <v>322</v>
          </cell>
        </row>
        <row r="48">
          <cell r="C48">
            <v>247</v>
          </cell>
        </row>
        <row r="49">
          <cell r="C49">
            <v>192</v>
          </cell>
        </row>
        <row r="50">
          <cell r="C50">
            <v>297</v>
          </cell>
        </row>
        <row r="51">
          <cell r="C51">
            <v>252</v>
          </cell>
        </row>
        <row r="52">
          <cell r="C52">
            <v>297</v>
          </cell>
        </row>
        <row r="53">
          <cell r="C53">
            <v>329</v>
          </cell>
        </row>
        <row r="54">
          <cell r="C54">
            <v>312</v>
          </cell>
        </row>
        <row r="55">
          <cell r="C55">
            <v>254</v>
          </cell>
        </row>
        <row r="56">
          <cell r="C56">
            <v>347</v>
          </cell>
        </row>
        <row r="57">
          <cell r="C57">
            <v>454</v>
          </cell>
        </row>
        <row r="58">
          <cell r="C58">
            <v>474</v>
          </cell>
        </row>
        <row r="59">
          <cell r="C59">
            <v>480</v>
          </cell>
        </row>
        <row r="60">
          <cell r="C60">
            <v>520</v>
          </cell>
        </row>
        <row r="61">
          <cell r="C61">
            <v>558</v>
          </cell>
        </row>
        <row r="62">
          <cell r="C62">
            <v>606</v>
          </cell>
        </row>
        <row r="63">
          <cell r="C63">
            <v>692</v>
          </cell>
        </row>
        <row r="64">
          <cell r="C64">
            <v>711</v>
          </cell>
        </row>
        <row r="65">
          <cell r="C65">
            <v>597</v>
          </cell>
        </row>
        <row r="66">
          <cell r="C66">
            <v>469</v>
          </cell>
        </row>
        <row r="67">
          <cell r="C67">
            <v>534</v>
          </cell>
        </row>
        <row r="68">
          <cell r="C68">
            <v>687</v>
          </cell>
        </row>
        <row r="69">
          <cell r="C69">
            <v>828</v>
          </cell>
        </row>
        <row r="70">
          <cell r="C70">
            <v>995</v>
          </cell>
        </row>
        <row r="71">
          <cell r="C71">
            <v>1293</v>
          </cell>
        </row>
        <row r="72">
          <cell r="C72">
            <v>1538</v>
          </cell>
        </row>
        <row r="73">
          <cell r="C73">
            <v>1481</v>
          </cell>
        </row>
        <row r="74">
          <cell r="C74">
            <v>1306</v>
          </cell>
        </row>
        <row r="75">
          <cell r="C75">
            <v>929</v>
          </cell>
        </row>
        <row r="76">
          <cell r="C76">
            <v>1053</v>
          </cell>
        </row>
        <row r="77">
          <cell r="C77">
            <v>1139</v>
          </cell>
        </row>
        <row r="78">
          <cell r="C78">
            <v>958</v>
          </cell>
        </row>
        <row r="79">
          <cell r="C79">
            <v>813</v>
          </cell>
        </row>
        <row r="80">
          <cell r="C80">
            <v>1047</v>
          </cell>
        </row>
        <row r="81">
          <cell r="C81">
            <v>1077</v>
          </cell>
        </row>
        <row r="82">
          <cell r="C82">
            <v>1363</v>
          </cell>
        </row>
        <row r="83">
          <cell r="C83">
            <v>1349</v>
          </cell>
        </row>
        <row r="84">
          <cell r="C84">
            <v>1378</v>
          </cell>
        </row>
        <row r="85">
          <cell r="C85">
            <v>1417</v>
          </cell>
        </row>
        <row r="86">
          <cell r="C86">
            <v>1816</v>
          </cell>
        </row>
        <row r="87">
          <cell r="C87">
            <v>1799</v>
          </cell>
        </row>
        <row r="88">
          <cell r="C88">
            <v>2008</v>
          </cell>
        </row>
        <row r="89">
          <cell r="C89">
            <v>1640</v>
          </cell>
        </row>
        <row r="90">
          <cell r="C90">
            <v>1388</v>
          </cell>
        </row>
        <row r="91">
          <cell r="C91">
            <v>1478</v>
          </cell>
        </row>
        <row r="92">
          <cell r="C92">
            <v>1744</v>
          </cell>
        </row>
        <row r="93">
          <cell r="C93">
            <v>1861</v>
          </cell>
        </row>
        <row r="94">
          <cell r="C94">
            <v>1699</v>
          </cell>
        </row>
        <row r="140">
          <cell r="C140">
            <v>25712</v>
          </cell>
        </row>
        <row r="141">
          <cell r="C141">
            <v>2143</v>
          </cell>
          <cell r="D141">
            <v>6549</v>
          </cell>
        </row>
      </sheetData>
      <sheetData sheetId="7"/>
      <sheetData sheetId="8">
        <row r="16">
          <cell r="B16" t="str">
            <v>Brient Jean-François</v>
          </cell>
        </row>
        <row r="17">
          <cell r="B17" t="str">
            <v>Beyl Yann</v>
          </cell>
        </row>
        <row r="18">
          <cell r="B18" t="str">
            <v>Flégeau Matthieu</v>
          </cell>
        </row>
        <row r="19">
          <cell r="B19" t="str">
            <v>Couture Nicolas</v>
          </cell>
        </row>
        <row r="20">
          <cell r="B20" t="str">
            <v>Nicolas Jérémy</v>
          </cell>
        </row>
        <row r="21">
          <cell r="B21" t="str">
            <v>Roszak Clément</v>
          </cell>
        </row>
        <row r="22">
          <cell r="B22" t="str">
            <v>Trin Kilian</v>
          </cell>
        </row>
        <row r="23">
          <cell r="B23" t="str">
            <v>Faulkner Thierry</v>
          </cell>
        </row>
        <row r="24">
          <cell r="B24" t="str">
            <v>Couture Christophe</v>
          </cell>
        </row>
        <row r="25">
          <cell r="B25" t="str">
            <v>Zaragoza José</v>
          </cell>
        </row>
        <row r="26">
          <cell r="B26" t="str">
            <v>Baudais Luc</v>
          </cell>
        </row>
        <row r="27">
          <cell r="B27" t="str">
            <v>Colombel Guy</v>
          </cell>
        </row>
        <row r="28">
          <cell r="B28" t="str">
            <v>Roszak Martin</v>
          </cell>
        </row>
        <row r="29">
          <cell r="B29" t="str">
            <v>Dayot Franck</v>
          </cell>
        </row>
        <row r="30">
          <cell r="B30" t="str">
            <v>Morin Emmanuel</v>
          </cell>
        </row>
        <row r="31">
          <cell r="B31" t="str">
            <v>Touche Rémy</v>
          </cell>
        </row>
        <row r="32">
          <cell r="B32" t="str">
            <v>Hilton Franck</v>
          </cell>
        </row>
        <row r="33">
          <cell r="B33" t="str">
            <v>Lecossier Michel</v>
          </cell>
        </row>
        <row r="34">
          <cell r="B34" t="str">
            <v>Vilain Benjamin</v>
          </cell>
        </row>
        <row r="35">
          <cell r="B35" t="str">
            <v>Morin Quentin</v>
          </cell>
        </row>
        <row r="36">
          <cell r="B36" t="str">
            <v>Rochefort Reginald</v>
          </cell>
        </row>
        <row r="37">
          <cell r="B37" t="str">
            <v>Le Garnec Sacha</v>
          </cell>
        </row>
        <row r="38">
          <cell r="B38" t="str">
            <v>Cojean Youen</v>
          </cell>
        </row>
        <row r="39">
          <cell r="B39" t="str">
            <v>Boulaire Emile</v>
          </cell>
        </row>
        <row r="40">
          <cell r="B40" t="str">
            <v>Mierzwa Julien</v>
          </cell>
        </row>
        <row r="41">
          <cell r="B41" t="str">
            <v>Bousseau Yannick</v>
          </cell>
        </row>
        <row r="42">
          <cell r="B42" t="str">
            <v>Guehennec Benoit</v>
          </cell>
        </row>
        <row r="43">
          <cell r="B43" t="str">
            <v>Sail Rémy</v>
          </cell>
        </row>
        <row r="44">
          <cell r="B44" t="str">
            <v>Morin Léa</v>
          </cell>
        </row>
        <row r="45">
          <cell r="B45" t="str">
            <v>Craineguy David</v>
          </cell>
        </row>
        <row r="46">
          <cell r="B46" t="str">
            <v>Le Cam Corentin</v>
          </cell>
        </row>
        <row r="47">
          <cell r="B47" t="str">
            <v>Guillotin Marie-Paule</v>
          </cell>
        </row>
        <row r="48">
          <cell r="B48" t="str">
            <v>Lorho Mathieu</v>
          </cell>
        </row>
        <row r="49">
          <cell r="B49" t="str">
            <v>Allano Antoine</v>
          </cell>
        </row>
        <row r="50">
          <cell r="B50" t="str">
            <v>Le Cam Alan</v>
          </cell>
        </row>
        <row r="51">
          <cell r="B51" t="str">
            <v>Jugé Léana</v>
          </cell>
        </row>
        <row r="52">
          <cell r="B52" t="str">
            <v>Simon Titouan</v>
          </cell>
        </row>
        <row r="53">
          <cell r="B53" t="str">
            <v>Zaragoza Quentin</v>
          </cell>
        </row>
        <row r="54">
          <cell r="B54" t="str">
            <v>Ayoul-Bellot Thais</v>
          </cell>
        </row>
        <row r="55">
          <cell r="B55" t="str">
            <v>Ravel Serge</v>
          </cell>
        </row>
        <row r="56">
          <cell r="B56" t="str">
            <v>Sail Anthony</v>
          </cell>
        </row>
        <row r="57">
          <cell r="B57" t="str">
            <v>Cojean Gwendal</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sheetData>
      <sheetData sheetId="9"/>
      <sheetData sheetId="10">
        <row r="3">
          <cell r="A3" t="str">
            <v>Brient Jean-François</v>
          </cell>
          <cell r="B3" t="str">
            <v>x</v>
          </cell>
          <cell r="C3">
            <v>34.94399999999996</v>
          </cell>
          <cell r="D3">
            <v>4.5</v>
          </cell>
          <cell r="E3">
            <v>8.9711551121408863</v>
          </cell>
          <cell r="F3">
            <v>19.535714285714285</v>
          </cell>
          <cell r="G3">
            <v>6.8000000000000007</v>
          </cell>
          <cell r="H3">
            <v>0.58823627713918269</v>
          </cell>
          <cell r="I3">
            <v>-7.353348289995118E-2</v>
          </cell>
          <cell r="J3">
            <v>10</v>
          </cell>
          <cell r="K3">
            <v>10</v>
          </cell>
          <cell r="L3">
            <v>1</v>
          </cell>
          <cell r="Q3">
            <v>1</v>
          </cell>
          <cell r="R3">
            <v>14.4</v>
          </cell>
          <cell r="S3">
            <v>52.321572198203562</v>
          </cell>
          <cell r="T3">
            <v>1</v>
          </cell>
        </row>
        <row r="4">
          <cell r="A4" t="str">
            <v>Beyl Yann</v>
          </cell>
          <cell r="B4" t="str">
            <v>x</v>
          </cell>
          <cell r="C4">
            <v>-61.042999999999893</v>
          </cell>
          <cell r="D4">
            <v>0</v>
          </cell>
          <cell r="E4">
            <v>7.3334133639074643</v>
          </cell>
          <cell r="F4">
            <v>14.562770562770563</v>
          </cell>
          <cell r="G4">
            <v>3</v>
          </cell>
          <cell r="H4">
            <v>3.7339092691796258E-5</v>
          </cell>
          <cell r="I4">
            <v>-0.83334779687221872</v>
          </cell>
          <cell r="J4">
            <v>31</v>
          </cell>
          <cell r="K4">
            <v>10</v>
          </cell>
          <cell r="R4">
            <v>5.333333333333333</v>
          </cell>
          <cell r="S4">
            <v>34.062873538075372</v>
          </cell>
          <cell r="T4">
            <v>13</v>
          </cell>
        </row>
        <row r="5">
          <cell r="A5" t="str">
            <v>Flégeau Matthieu</v>
          </cell>
          <cell r="B5" t="str">
            <v>x</v>
          </cell>
          <cell r="C5">
            <v>18.805000000000064</v>
          </cell>
          <cell r="D5">
            <v>1</v>
          </cell>
          <cell r="E5">
            <v>7.8434671616931704</v>
          </cell>
          <cell r="F5">
            <v>15.492857142857142</v>
          </cell>
          <cell r="G5">
            <v>5.1000000000000005</v>
          </cell>
          <cell r="H5">
            <v>3.1455880195115859E-5</v>
          </cell>
          <cell r="I5">
            <v>-0.39216606717392488</v>
          </cell>
          <cell r="J5">
            <v>25</v>
          </cell>
          <cell r="K5">
            <v>10</v>
          </cell>
          <cell r="L5">
            <v>1</v>
          </cell>
          <cell r="M5">
            <v>2.5</v>
          </cell>
          <cell r="N5">
            <v>1</v>
          </cell>
          <cell r="O5">
            <v>1</v>
          </cell>
          <cell r="Q5">
            <v>2</v>
          </cell>
          <cell r="R5">
            <v>6</v>
          </cell>
          <cell r="S5">
            <v>46.544189753701346</v>
          </cell>
          <cell r="T5">
            <v>4</v>
          </cell>
        </row>
        <row r="6">
          <cell r="A6" t="str">
            <v>Couture Nicolas</v>
          </cell>
          <cell r="B6" t="str">
            <v>x</v>
          </cell>
          <cell r="C6">
            <v>30.916999999999916</v>
          </cell>
          <cell r="D6">
            <v>3</v>
          </cell>
          <cell r="E6">
            <v>7.2551585590863805</v>
          </cell>
          <cell r="F6">
            <v>15.468253968253968</v>
          </cell>
          <cell r="G6">
            <v>5.1000000000000005</v>
          </cell>
          <cell r="H6">
            <v>1.9607845342340617</v>
          </cell>
          <cell r="I6">
            <v>-0.49019924676009996</v>
          </cell>
          <cell r="J6">
            <v>37</v>
          </cell>
          <cell r="K6">
            <v>10</v>
          </cell>
          <cell r="L6">
            <v>0.9</v>
          </cell>
          <cell r="M6">
            <v>1.2</v>
          </cell>
          <cell r="N6">
            <v>0.5</v>
          </cell>
          <cell r="R6">
            <v>3.7894736842105261</v>
          </cell>
          <cell r="S6">
            <v>44.893997903681907</v>
          </cell>
          <cell r="T6">
            <v>5</v>
          </cell>
        </row>
        <row r="7">
          <cell r="A7" t="str">
            <v>Nicolas Jérémy</v>
          </cell>
          <cell r="B7" t="str">
            <v>x</v>
          </cell>
          <cell r="C7">
            <v>18.810000000000173</v>
          </cell>
          <cell r="D7">
            <v>1.5</v>
          </cell>
          <cell r="E7">
            <v>8.3342525542460617</v>
          </cell>
          <cell r="F7">
            <v>10.930555555555555</v>
          </cell>
          <cell r="G7">
            <v>4.2</v>
          </cell>
          <cell r="H7">
            <v>0.95238149854686716</v>
          </cell>
          <cell r="I7">
            <v>-0.35714410907017141</v>
          </cell>
          <cell r="J7">
            <v>43</v>
          </cell>
          <cell r="K7">
            <v>10</v>
          </cell>
          <cell r="M7">
            <v>2.4</v>
          </cell>
          <cell r="R7">
            <v>3.3488372093023258</v>
          </cell>
          <cell r="S7">
            <v>37.960045568691648</v>
          </cell>
          <cell r="T7">
            <v>10</v>
          </cell>
        </row>
        <row r="8">
          <cell r="A8" t="str">
            <v>Roszak Clément</v>
          </cell>
          <cell r="B8" t="str">
            <v>x</v>
          </cell>
          <cell r="C8">
            <v>1.8130000000001019</v>
          </cell>
          <cell r="D8">
            <v>0</v>
          </cell>
          <cell r="E8">
            <v>8.0002519170449702</v>
          </cell>
          <cell r="F8">
            <v>11.416666666666668</v>
          </cell>
          <cell r="G8">
            <v>3.5</v>
          </cell>
          <cell r="H8">
            <v>1.7143257099943356</v>
          </cell>
          <cell r="I8">
            <v>-0.71429538061009634</v>
          </cell>
          <cell r="J8">
            <v>61</v>
          </cell>
          <cell r="K8">
            <v>8.1967213114754092</v>
          </cell>
          <cell r="L8">
            <v>1</v>
          </cell>
          <cell r="R8">
            <v>2.7169811320754715</v>
          </cell>
          <cell r="S8">
            <v>33.11367031449636</v>
          </cell>
          <cell r="T8">
            <v>15</v>
          </cell>
        </row>
        <row r="9">
          <cell r="A9" t="str">
            <v>Trin Kilian</v>
          </cell>
          <cell r="B9" t="str">
            <v>x</v>
          </cell>
          <cell r="C9">
            <v>5.8210000000001401</v>
          </cell>
          <cell r="D9">
            <v>0</v>
          </cell>
          <cell r="E9">
            <v>0</v>
          </cell>
          <cell r="F9">
            <v>0</v>
          </cell>
          <cell r="G9">
            <v>0.60000000000000009</v>
          </cell>
          <cell r="H9">
            <v>6.6667724772693155</v>
          </cell>
          <cell r="I9">
            <v>-5.310715932180145E-5</v>
          </cell>
          <cell r="J9">
            <v>65</v>
          </cell>
          <cell r="K9">
            <v>7.6923076923076925</v>
          </cell>
          <cell r="R9">
            <v>2.4406779661016951</v>
          </cell>
          <cell r="S9">
            <v>14.959027091415855</v>
          </cell>
          <cell r="T9">
            <v>35</v>
          </cell>
        </row>
        <row r="10">
          <cell r="A10" t="str">
            <v>Faulkner Thierry</v>
          </cell>
          <cell r="B10" t="str">
            <v>x</v>
          </cell>
          <cell r="C10">
            <v>-2.5000000000090949E-2</v>
          </cell>
          <cell r="D10">
            <v>0</v>
          </cell>
          <cell r="E10">
            <v>6.0871696752647022</v>
          </cell>
          <cell r="F10">
            <v>10.753968253968255</v>
          </cell>
          <cell r="G10">
            <v>2.3000000000000003</v>
          </cell>
          <cell r="H10">
            <v>0.86959279618705665</v>
          </cell>
          <cell r="I10">
            <v>-0.65217961244459066</v>
          </cell>
          <cell r="J10">
            <v>39</v>
          </cell>
          <cell r="K10">
            <v>10</v>
          </cell>
          <cell r="R10">
            <v>16.216216216216218</v>
          </cell>
          <cell r="S10">
            <v>29.358551198916846</v>
          </cell>
          <cell r="T10">
            <v>19</v>
          </cell>
        </row>
        <row r="11">
          <cell r="A11" t="str">
            <v>Couture Christophe</v>
          </cell>
          <cell r="B11" t="str">
            <v>x</v>
          </cell>
          <cell r="C11">
            <v>-48.013099999999895</v>
          </cell>
          <cell r="D11">
            <v>0</v>
          </cell>
          <cell r="E11">
            <v>3.7935489815187311</v>
          </cell>
          <cell r="F11">
            <v>9.0779220779220768</v>
          </cell>
          <cell r="G11">
            <v>2.9000000000000004</v>
          </cell>
          <cell r="H11">
            <v>0.68967785041369378</v>
          </cell>
          <cell r="I11">
            <v>-0.86208334361848615</v>
          </cell>
          <cell r="J11">
            <v>122</v>
          </cell>
          <cell r="K11">
            <v>4.918032786885246</v>
          </cell>
          <cell r="L11">
            <v>1</v>
          </cell>
          <cell r="M11">
            <v>0.5</v>
          </cell>
          <cell r="O11">
            <v>3</v>
          </cell>
          <cell r="Q11">
            <v>2</v>
          </cell>
          <cell r="R11">
            <v>6.1855670103092786</v>
          </cell>
          <cell r="S11">
            <v>27.017098443798236</v>
          </cell>
          <cell r="T11">
            <v>25</v>
          </cell>
        </row>
        <row r="12">
          <cell r="A12" t="str">
            <v>Zaragoza José</v>
          </cell>
          <cell r="B12" t="str">
            <v>x</v>
          </cell>
          <cell r="C12">
            <v>6.9320000000000164</v>
          </cell>
          <cell r="D12">
            <v>0.5</v>
          </cell>
          <cell r="E12">
            <v>9.166828592680865</v>
          </cell>
          <cell r="F12">
            <v>6.7006630500301387</v>
          </cell>
          <cell r="G12">
            <v>3.6</v>
          </cell>
          <cell r="H12">
            <v>1.0046125219140063E-5</v>
          </cell>
          <cell r="I12">
            <v>-0.27778332083235224</v>
          </cell>
          <cell r="J12">
            <v>105</v>
          </cell>
          <cell r="K12">
            <v>5.7142857142857144</v>
          </cell>
          <cell r="Q12">
            <v>2</v>
          </cell>
          <cell r="R12">
            <v>5.9405940594059405</v>
          </cell>
          <cell r="S12">
            <v>27.404004092370009</v>
          </cell>
          <cell r="T12">
            <v>23</v>
          </cell>
        </row>
        <row r="13">
          <cell r="A13" t="str">
            <v>Baudais Luc</v>
          </cell>
          <cell r="B13" t="str">
            <v>x</v>
          </cell>
          <cell r="C13">
            <v>-92.019999999999982</v>
          </cell>
          <cell r="D13">
            <v>0</v>
          </cell>
          <cell r="E13">
            <v>4.0825363107661534</v>
          </cell>
          <cell r="F13">
            <v>8.8833333333333346</v>
          </cell>
          <cell r="G13">
            <v>4.9000000000000004</v>
          </cell>
          <cell r="H13">
            <v>2.4489869265237605</v>
          </cell>
          <cell r="I13">
            <v>-1.1224494346190308</v>
          </cell>
          <cell r="J13">
            <v>168</v>
          </cell>
          <cell r="K13">
            <v>3.5714285714285716</v>
          </cell>
          <cell r="M13">
            <v>1.5</v>
          </cell>
          <cell r="O13">
            <v>3</v>
          </cell>
          <cell r="Q13">
            <v>1</v>
          </cell>
          <cell r="R13">
            <v>5.6603773584905657</v>
          </cell>
          <cell r="S13">
            <v>28.263835761721861</v>
          </cell>
          <cell r="T13">
            <v>22</v>
          </cell>
        </row>
        <row r="14">
          <cell r="A14" t="str">
            <v>Colombel Guy</v>
          </cell>
          <cell r="B14" t="str">
            <v>x</v>
          </cell>
          <cell r="C14">
            <v>-33.010999999999967</v>
          </cell>
          <cell r="D14">
            <v>0</v>
          </cell>
          <cell r="E14">
            <v>5.1732354562501746</v>
          </cell>
          <cell r="F14">
            <v>8.5746031746031743</v>
          </cell>
          <cell r="G14">
            <v>2.9000000000000004</v>
          </cell>
          <cell r="H14">
            <v>0.68968931532854261</v>
          </cell>
          <cell r="I14">
            <v>-0.51724360032286287</v>
          </cell>
          <cell r="J14">
            <v>137</v>
          </cell>
          <cell r="K14">
            <v>4.3795620437956204</v>
          </cell>
          <cell r="R14">
            <v>5.2173913043478262</v>
          </cell>
          <cell r="S14">
            <v>21.199846436209949</v>
          </cell>
          <cell r="T14">
            <v>32</v>
          </cell>
        </row>
        <row r="15">
          <cell r="A15" t="str">
            <v>Roszak Martin</v>
          </cell>
          <cell r="B15" t="str">
            <v>x</v>
          </cell>
          <cell r="C15">
            <v>22.913999999999987</v>
          </cell>
          <cell r="D15">
            <v>2</v>
          </cell>
          <cell r="E15">
            <v>5.6528666619658683</v>
          </cell>
          <cell r="F15">
            <v>9.6805173992673996</v>
          </cell>
          <cell r="G15">
            <v>4.6000000000000005</v>
          </cell>
          <cell r="H15">
            <v>2.608722703507576</v>
          </cell>
          <cell r="I15">
            <v>-0.43478344541963776</v>
          </cell>
          <cell r="J15">
            <v>28</v>
          </cell>
          <cell r="K15">
            <v>5.1428571428571432</v>
          </cell>
          <cell r="L15">
            <v>2</v>
          </cell>
          <cell r="R15">
            <v>6.8</v>
          </cell>
          <cell r="S15">
            <v>31.250180514520821</v>
          </cell>
          <cell r="T15">
            <v>16</v>
          </cell>
        </row>
        <row r="16">
          <cell r="A16" t="str">
            <v>Dayot Franck</v>
          </cell>
          <cell r="B16" t="str">
            <v>x</v>
          </cell>
          <cell r="C16">
            <v>-2.0900000000000318</v>
          </cell>
          <cell r="D16">
            <v>0</v>
          </cell>
          <cell r="E16">
            <v>7.6931543771973789</v>
          </cell>
          <cell r="F16">
            <v>7.6660052910052903</v>
          </cell>
          <cell r="G16">
            <v>3.9000000000000004</v>
          </cell>
          <cell r="H16">
            <v>1.5679475063261901E-6</v>
          </cell>
          <cell r="I16">
            <v>-0.76923323980197267</v>
          </cell>
          <cell r="J16">
            <v>133</v>
          </cell>
          <cell r="K16">
            <v>4.511278195488722</v>
          </cell>
          <cell r="L16">
            <v>1</v>
          </cell>
          <cell r="R16">
            <v>4.7619047619047619</v>
          </cell>
          <cell r="S16">
            <v>24.001206267425729</v>
          </cell>
          <cell r="T16">
            <v>27</v>
          </cell>
        </row>
        <row r="17">
          <cell r="A17" t="str">
            <v>Morin Emmanuel</v>
          </cell>
          <cell r="B17" t="str">
            <v>x</v>
          </cell>
          <cell r="C17">
            <v>-6.0159999999999627</v>
          </cell>
          <cell r="D17">
            <v>0</v>
          </cell>
          <cell r="E17">
            <v>5.3705643234216609</v>
          </cell>
          <cell r="F17">
            <v>9.0049261083743843</v>
          </cell>
          <cell r="G17">
            <v>5.4</v>
          </cell>
          <cell r="H17">
            <v>2.2222282429666023</v>
          </cell>
          <cell r="I17">
            <v>-1.2963009099605538</v>
          </cell>
          <cell r="J17">
            <v>158</v>
          </cell>
          <cell r="K17">
            <v>3.7974683544303796</v>
          </cell>
          <cell r="L17">
            <v>2</v>
          </cell>
          <cell r="M17">
            <v>3</v>
          </cell>
          <cell r="N17">
            <v>1</v>
          </cell>
          <cell r="O17">
            <v>1</v>
          </cell>
          <cell r="Q17">
            <v>2</v>
          </cell>
          <cell r="R17">
            <v>4.3165467625899279</v>
          </cell>
          <cell r="S17">
            <v>33.498886166918552</v>
          </cell>
          <cell r="T17">
            <v>14</v>
          </cell>
        </row>
        <row r="18">
          <cell r="A18" t="str">
            <v>Touche Rémy</v>
          </cell>
          <cell r="B18" t="str">
            <v>x</v>
          </cell>
          <cell r="C18">
            <v>-5.0520000000000209</v>
          </cell>
          <cell r="D18">
            <v>0</v>
          </cell>
          <cell r="E18">
            <v>7.6745938767799533</v>
          </cell>
          <cell r="F18">
            <v>6.8089235694277708</v>
          </cell>
          <cell r="G18">
            <v>4.3</v>
          </cell>
          <cell r="H18">
            <v>0.46516192172846993</v>
          </cell>
          <cell r="I18">
            <v>-0.23255819084318102</v>
          </cell>
          <cell r="J18">
            <v>169</v>
          </cell>
          <cell r="K18">
            <v>3.5502958579881656</v>
          </cell>
          <cell r="R18">
            <v>3.9735099337748343</v>
          </cell>
          <cell r="S18">
            <v>22.566417100815606</v>
          </cell>
          <cell r="T18">
            <v>29</v>
          </cell>
          <cell r="AA18" t="str">
            <v>Brient Jean-François</v>
          </cell>
        </row>
        <row r="19">
          <cell r="A19" t="str">
            <v>Hilton Franck</v>
          </cell>
          <cell r="B19" t="str">
            <v>x</v>
          </cell>
          <cell r="C19">
            <v>402.93299999999999</v>
          </cell>
          <cell r="D19">
            <v>10</v>
          </cell>
          <cell r="E19">
            <v>7.7027760658521327</v>
          </cell>
          <cell r="F19">
            <v>11.242678291974068</v>
          </cell>
          <cell r="G19">
            <v>7.4</v>
          </cell>
          <cell r="H19">
            <v>2.702718221298603</v>
          </cell>
          <cell r="I19">
            <v>-0.33784034910651012</v>
          </cell>
          <cell r="J19">
            <v>78</v>
          </cell>
          <cell r="K19">
            <v>6.4102564102564106</v>
          </cell>
          <cell r="L19">
            <v>2</v>
          </cell>
          <cell r="Q19">
            <v>1</v>
          </cell>
          <cell r="R19">
            <v>0.8571428571428571</v>
          </cell>
          <cell r="S19">
            <v>48.120588685487775</v>
          </cell>
          <cell r="T19">
            <v>3</v>
          </cell>
          <cell r="AA19" t="str">
            <v>Morin Quentin</v>
          </cell>
        </row>
        <row r="20">
          <cell r="A20" t="str">
            <v>Lecossier Michel</v>
          </cell>
          <cell r="B20" t="str">
            <v>x</v>
          </cell>
          <cell r="C20">
            <v>-2.0769999999999982</v>
          </cell>
          <cell r="D20">
            <v>0</v>
          </cell>
          <cell r="E20">
            <v>5.1855638167716585</v>
          </cell>
          <cell r="F20">
            <v>7.9017857142857144</v>
          </cell>
          <cell r="G20">
            <v>2.7</v>
          </cell>
          <cell r="H20">
            <v>2.9629803255779925</v>
          </cell>
          <cell r="I20">
            <v>-0.1851915911590731</v>
          </cell>
          <cell r="J20">
            <v>192</v>
          </cell>
          <cell r="K20">
            <v>3.125</v>
          </cell>
          <cell r="R20">
            <v>3.4285714285714284</v>
          </cell>
          <cell r="S20">
            <v>21.690138329858094</v>
          </cell>
          <cell r="T20">
            <v>31</v>
          </cell>
          <cell r="AA20" t="str">
            <v>Hilton Franck</v>
          </cell>
        </row>
        <row r="21">
          <cell r="A21" t="str">
            <v>Vilain Benjamin</v>
          </cell>
          <cell r="B21" t="str">
            <v>x</v>
          </cell>
          <cell r="C21">
            <v>30.982999999999947</v>
          </cell>
          <cell r="D21">
            <v>3.5</v>
          </cell>
          <cell r="E21">
            <v>5.4764811585465214</v>
          </cell>
          <cell r="F21">
            <v>8.7462971810797896</v>
          </cell>
          <cell r="G21">
            <v>4.2</v>
          </cell>
          <cell r="H21">
            <v>2.8571682424589415</v>
          </cell>
          <cell r="I21">
            <v>-0.35714470384140462</v>
          </cell>
          <cell r="J21">
            <v>186</v>
          </cell>
          <cell r="K21">
            <v>3.225806451612903</v>
          </cell>
          <cell r="L21">
            <v>1</v>
          </cell>
          <cell r="M21">
            <v>3</v>
          </cell>
          <cell r="N21">
            <v>1</v>
          </cell>
          <cell r="O21">
            <v>3</v>
          </cell>
          <cell r="P21">
            <v>2</v>
          </cell>
          <cell r="Q21">
            <v>2</v>
          </cell>
          <cell r="R21">
            <v>3.125</v>
          </cell>
          <cell r="S21">
            <v>39.648608359395233</v>
          </cell>
          <cell r="T21">
            <v>9</v>
          </cell>
          <cell r="AA21" t="str">
            <v>Flégeau Matthieu</v>
          </cell>
        </row>
        <row r="22">
          <cell r="A22" t="str">
            <v>Morin Quentin</v>
          </cell>
          <cell r="B22" t="str">
            <v>x</v>
          </cell>
          <cell r="C22">
            <v>141.97799999999995</v>
          </cell>
          <cell r="D22">
            <v>9</v>
          </cell>
          <cell r="E22">
            <v>5.8512062637399147</v>
          </cell>
          <cell r="F22">
            <v>8.5370370370370363</v>
          </cell>
          <cell r="G22">
            <v>9.4</v>
          </cell>
          <cell r="H22">
            <v>3.1915089311462745</v>
          </cell>
          <cell r="I22">
            <v>-0.21276848566129566</v>
          </cell>
          <cell r="J22">
            <v>16</v>
          </cell>
          <cell r="K22">
            <v>10</v>
          </cell>
          <cell r="L22">
            <v>3.4</v>
          </cell>
          <cell r="R22">
            <v>11.4</v>
          </cell>
          <cell r="S22">
            <v>49.166983751168736</v>
          </cell>
          <cell r="T22">
            <v>2</v>
          </cell>
          <cell r="AA22" t="str">
            <v>Couture Nicolas</v>
          </cell>
        </row>
        <row r="23">
          <cell r="A23" t="str">
            <v>Rochefort Reginald</v>
          </cell>
          <cell r="B23" t="str">
            <v>x</v>
          </cell>
          <cell r="C23">
            <v>29.969000000000051</v>
          </cell>
          <cell r="D23">
            <v>2.5</v>
          </cell>
          <cell r="E23">
            <v>4.2509244055608146</v>
          </cell>
          <cell r="F23">
            <v>8.53781512605042</v>
          </cell>
          <cell r="G23">
            <v>4</v>
          </cell>
          <cell r="H23">
            <v>5.0000495279844834</v>
          </cell>
          <cell r="I23">
            <v>-0.25001022738835615</v>
          </cell>
          <cell r="J23">
            <v>224</v>
          </cell>
          <cell r="K23">
            <v>2.2321428571428572</v>
          </cell>
          <cell r="L23">
            <v>1</v>
          </cell>
          <cell r="Q23">
            <v>2</v>
          </cell>
          <cell r="R23">
            <v>0.75392670157068065</v>
          </cell>
          <cell r="S23">
            <v>29.270921704333265</v>
          </cell>
          <cell r="T23">
            <v>20</v>
          </cell>
          <cell r="AA23" t="str">
            <v>Le Garnec Sacha</v>
          </cell>
        </row>
        <row r="24">
          <cell r="A24" t="str">
            <v>Le Garnec Sacha</v>
          </cell>
          <cell r="B24" t="str">
            <v>x</v>
          </cell>
          <cell r="C24">
            <v>94.985000000000014</v>
          </cell>
          <cell r="D24">
            <v>8</v>
          </cell>
          <cell r="E24">
            <v>5.7149347628660605</v>
          </cell>
          <cell r="F24">
            <v>9.518310041407867</v>
          </cell>
          <cell r="G24">
            <v>4.2</v>
          </cell>
          <cell r="H24">
            <v>5.7143261037265214</v>
          </cell>
          <cell r="I24">
            <v>-0.59524954197921365</v>
          </cell>
          <cell r="J24">
            <v>17</v>
          </cell>
          <cell r="K24">
            <v>10</v>
          </cell>
          <cell r="L24">
            <v>2</v>
          </cell>
          <cell r="R24">
            <v>9.5</v>
          </cell>
          <cell r="S24">
            <v>44.552321463648852</v>
          </cell>
          <cell r="T24">
            <v>6</v>
          </cell>
          <cell r="AA24" t="str">
            <v>Morin Léa</v>
          </cell>
        </row>
        <row r="25">
          <cell r="A25" t="str">
            <v>Cojean Youen</v>
          </cell>
          <cell r="B25" t="str">
            <v>x</v>
          </cell>
          <cell r="C25">
            <v>55.829999999999927</v>
          </cell>
          <cell r="D25">
            <v>6.5</v>
          </cell>
          <cell r="E25">
            <v>5.3973244457131937</v>
          </cell>
          <cell r="F25">
            <v>8.2657450076804917</v>
          </cell>
          <cell r="G25">
            <v>6.3000000000000007</v>
          </cell>
          <cell r="H25">
            <v>2.8571592184368773</v>
          </cell>
          <cell r="I25">
            <v>-0.55555722623744996</v>
          </cell>
          <cell r="J25">
            <v>39</v>
          </cell>
          <cell r="K25">
            <v>3.6923076923076925</v>
          </cell>
          <cell r="L25">
            <v>1</v>
          </cell>
          <cell r="O25">
            <v>1</v>
          </cell>
          <cell r="Q25">
            <v>1</v>
          </cell>
          <cell r="R25">
            <v>4.5945945945945947</v>
          </cell>
          <cell r="S25">
            <v>35.45697915859207</v>
          </cell>
          <cell r="T25">
            <v>12</v>
          </cell>
          <cell r="AA25" t="str">
            <v>Zaragoza Quentin</v>
          </cell>
        </row>
        <row r="26">
          <cell r="A26" t="str">
            <v>Boulaire Emile</v>
          </cell>
          <cell r="B26" t="str">
            <v>x</v>
          </cell>
          <cell r="C26">
            <v>-10.180000000000064</v>
          </cell>
          <cell r="D26">
            <v>0</v>
          </cell>
          <cell r="E26">
            <v>5.0002106847103365</v>
          </cell>
          <cell r="F26">
            <v>7.0757575757575761</v>
          </cell>
          <cell r="G26">
            <v>3</v>
          </cell>
          <cell r="H26">
            <v>2.00000772042416</v>
          </cell>
          <cell r="I26">
            <v>-0.83334557415843147</v>
          </cell>
          <cell r="J26">
            <v>270</v>
          </cell>
          <cell r="K26">
            <v>2.2222222222222223</v>
          </cell>
          <cell r="M26">
            <v>3</v>
          </cell>
          <cell r="O26">
            <v>1</v>
          </cell>
          <cell r="Q26">
            <v>1</v>
          </cell>
          <cell r="R26">
            <v>2.4390243902439024</v>
          </cell>
          <cell r="S26">
            <v>23.464852700988413</v>
          </cell>
          <cell r="T26">
            <v>28</v>
          </cell>
          <cell r="AA26" t="str">
            <v>Vilain Benjamin</v>
          </cell>
        </row>
        <row r="27">
          <cell r="A27" t="str">
            <v>Mierzwa Julien</v>
          </cell>
          <cell r="B27" t="str">
            <v>x</v>
          </cell>
          <cell r="C27">
            <v>37.024999999999977</v>
          </cell>
          <cell r="D27">
            <v>5.5</v>
          </cell>
          <cell r="E27">
            <v>3.6671054629694715</v>
          </cell>
          <cell r="F27">
            <v>8.4447482342219189</v>
          </cell>
          <cell r="G27">
            <v>3</v>
          </cell>
          <cell r="H27">
            <v>4.0000119095901168</v>
          </cell>
          <cell r="I27">
            <v>-0.50000783124431969</v>
          </cell>
          <cell r="J27">
            <v>238</v>
          </cell>
          <cell r="K27">
            <v>2.1008403361344539</v>
          </cell>
          <cell r="L27">
            <v>1</v>
          </cell>
          <cell r="R27">
            <v>0.68246445497630337</v>
          </cell>
          <cell r="S27">
            <v>27.21269815322227</v>
          </cell>
          <cell r="T27">
            <v>24</v>
          </cell>
          <cell r="AA27" t="str">
            <v>Nicolas Jérémy</v>
          </cell>
        </row>
        <row r="28">
          <cell r="A28" t="str">
            <v>Bousseau Yannick</v>
          </cell>
          <cell r="B28" t="str">
            <v>x</v>
          </cell>
          <cell r="C28">
            <v>-55.072999999999979</v>
          </cell>
          <cell r="D28">
            <v>0</v>
          </cell>
          <cell r="E28">
            <v>4.4453131366852201</v>
          </cell>
          <cell r="F28">
            <v>6.033163265306122</v>
          </cell>
          <cell r="G28">
            <v>3.6</v>
          </cell>
          <cell r="H28">
            <v>0.55556778421030295</v>
          </cell>
          <cell r="I28">
            <v>-1.3888905957683877</v>
          </cell>
          <cell r="J28">
            <v>389</v>
          </cell>
          <cell r="K28">
            <v>1.5424164524421593</v>
          </cell>
          <cell r="L28">
            <v>1</v>
          </cell>
          <cell r="M28">
            <v>3</v>
          </cell>
          <cell r="N28">
            <v>1</v>
          </cell>
          <cell r="O28">
            <v>1</v>
          </cell>
          <cell r="Q28">
            <v>1</v>
          </cell>
          <cell r="R28">
            <v>1.948051948051948</v>
          </cell>
          <cell r="S28">
            <v>21.787570131767595</v>
          </cell>
          <cell r="T28">
            <v>30</v>
          </cell>
        </row>
        <row r="29">
          <cell r="A29" t="str">
            <v>Guehennec Benoit</v>
          </cell>
          <cell r="B29" t="str">
            <v>x</v>
          </cell>
          <cell r="C29">
            <v>34.94399999999996</v>
          </cell>
          <cell r="D29">
            <v>4.5</v>
          </cell>
          <cell r="E29">
            <v>7.2735959687822573</v>
          </cell>
          <cell r="F29">
            <v>5.4699817726133517</v>
          </cell>
          <cell r="G29">
            <v>3.3000000000000003</v>
          </cell>
          <cell r="H29">
            <v>2.0518808263934398E-5</v>
          </cell>
          <cell r="I29">
            <v>-0.45455481117847496</v>
          </cell>
          <cell r="J29">
            <v>354</v>
          </cell>
          <cell r="K29">
            <v>1.6949152542372881</v>
          </cell>
          <cell r="L29">
            <v>1</v>
          </cell>
          <cell r="M29">
            <v>3</v>
          </cell>
          <cell r="O29">
            <v>1</v>
          </cell>
          <cell r="P29">
            <v>1</v>
          </cell>
          <cell r="Q29">
            <v>1</v>
          </cell>
          <cell r="R29">
            <v>1.7441860465116279</v>
          </cell>
          <cell r="S29">
            <v>28.783958739936125</v>
          </cell>
          <cell r="T29">
            <v>21</v>
          </cell>
        </row>
        <row r="30">
          <cell r="A30" t="str">
            <v>Sail Rémy</v>
          </cell>
          <cell r="B30" t="str">
            <v>x</v>
          </cell>
          <cell r="C30">
            <v>53.985000000000014</v>
          </cell>
          <cell r="D30">
            <v>6</v>
          </cell>
          <cell r="E30">
            <v>7.6719275237372315</v>
          </cell>
          <cell r="F30">
            <v>5.4644165358451078</v>
          </cell>
          <cell r="G30">
            <v>7.3000000000000007</v>
          </cell>
          <cell r="H30">
            <v>0.82192304339420252</v>
          </cell>
          <cell r="I30">
            <v>-0.75342867766404353</v>
          </cell>
          <cell r="J30">
            <v>12</v>
          </cell>
          <cell r="K30">
            <v>9.5</v>
          </cell>
          <cell r="L30">
            <v>1.79</v>
          </cell>
          <cell r="R30">
            <v>6.25</v>
          </cell>
          <cell r="S30">
            <v>37.794838476179578</v>
          </cell>
          <cell r="T30">
            <v>11</v>
          </cell>
        </row>
        <row r="31">
          <cell r="A31" t="str">
            <v>Morin Léa</v>
          </cell>
          <cell r="B31" t="str">
            <v>x</v>
          </cell>
          <cell r="C31">
            <v>136.95000000000005</v>
          </cell>
          <cell r="D31">
            <v>8.5</v>
          </cell>
          <cell r="E31">
            <v>4.2003120445445621</v>
          </cell>
          <cell r="F31">
            <v>7.0668883961566884</v>
          </cell>
          <cell r="G31">
            <v>10</v>
          </cell>
          <cell r="H31">
            <v>4.4000187132176913</v>
          </cell>
          <cell r="I31">
            <v>-0.25000352634983936</v>
          </cell>
          <cell r="J31">
            <v>3</v>
          </cell>
          <cell r="K31">
            <v>6</v>
          </cell>
          <cell r="L31">
            <v>3</v>
          </cell>
          <cell r="R31">
            <v>42.5</v>
          </cell>
          <cell r="S31">
            <v>42.917215660701544</v>
          </cell>
          <cell r="T31">
            <v>7</v>
          </cell>
        </row>
        <row r="32">
          <cell r="A32" t="str">
            <v>Craineguy David</v>
          </cell>
          <cell r="B32" t="str">
            <v>x</v>
          </cell>
          <cell r="C32">
            <v>-19.019000000000005</v>
          </cell>
          <cell r="D32">
            <v>0</v>
          </cell>
          <cell r="E32">
            <v>0</v>
          </cell>
          <cell r="F32">
            <v>0</v>
          </cell>
          <cell r="G32">
            <v>1.5</v>
          </cell>
          <cell r="H32">
            <v>1.0832023112878302E-4</v>
          </cell>
          <cell r="I32">
            <v>-1.0000183075116842</v>
          </cell>
          <cell r="J32">
            <v>425</v>
          </cell>
          <cell r="K32">
            <v>1.411764705882353</v>
          </cell>
          <cell r="L32">
            <v>1</v>
          </cell>
          <cell r="R32">
            <v>1.6574585635359116</v>
          </cell>
          <cell r="S32">
            <v>2.911854739557437</v>
          </cell>
          <cell r="T32">
            <v>42</v>
          </cell>
          <cell r="AA32" t="str">
            <v>Zaragoza Quentin</v>
          </cell>
        </row>
        <row r="33">
          <cell r="A33" t="str">
            <v>Le Cam Corentin</v>
          </cell>
          <cell r="B33" t="str">
            <v>x</v>
          </cell>
          <cell r="C33">
            <v>-14.083999999999946</v>
          </cell>
          <cell r="D33">
            <v>0</v>
          </cell>
          <cell r="E33">
            <v>2.5926192325617587</v>
          </cell>
          <cell r="F33">
            <v>6.5185860058309038</v>
          </cell>
          <cell r="G33">
            <v>2.7</v>
          </cell>
          <cell r="H33">
            <v>2.2222383075403749</v>
          </cell>
          <cell r="I33">
            <v>-0.5555585737829053</v>
          </cell>
          <cell r="J33">
            <v>75</v>
          </cell>
          <cell r="K33">
            <v>1.92</v>
          </cell>
          <cell r="L33">
            <v>1</v>
          </cell>
          <cell r="R33">
            <v>3.0909090909090908</v>
          </cell>
          <cell r="S33">
            <v>16.397885011936669</v>
          </cell>
          <cell r="T33">
            <v>34</v>
          </cell>
          <cell r="AA33" t="str">
            <v>Sail Rémy</v>
          </cell>
        </row>
        <row r="34">
          <cell r="A34" t="str">
            <v>Guillotin Marie-Paule</v>
          </cell>
          <cell r="B34" t="str">
            <v>x</v>
          </cell>
          <cell r="C34">
            <v>-60.028999999999996</v>
          </cell>
          <cell r="D34">
            <v>0</v>
          </cell>
          <cell r="E34">
            <v>3.226732099359567</v>
          </cell>
          <cell r="F34">
            <v>5.4013392857142852</v>
          </cell>
          <cell r="G34">
            <v>3.1</v>
          </cell>
          <cell r="H34">
            <v>0.64518696044739277</v>
          </cell>
          <cell r="I34">
            <v>-1.4516247112309875</v>
          </cell>
          <cell r="J34">
            <v>22</v>
          </cell>
          <cell r="K34">
            <v>1.9545454545454546</v>
          </cell>
          <cell r="L34">
            <v>2</v>
          </cell>
          <cell r="Q34">
            <v>2</v>
          </cell>
          <cell r="R34">
            <v>35.294117647058826</v>
          </cell>
          <cell r="S34">
            <v>16.87617917969796</v>
          </cell>
          <cell r="T34">
            <v>33</v>
          </cell>
          <cell r="AA34" t="str">
            <v>Simon Titouan</v>
          </cell>
        </row>
        <row r="35">
          <cell r="A35" t="str">
            <v>Lorho Mathieu</v>
          </cell>
          <cell r="B35" t="str">
            <v>x</v>
          </cell>
          <cell r="C35">
            <v>65.975000000000023</v>
          </cell>
          <cell r="D35">
            <v>7</v>
          </cell>
          <cell r="E35">
            <v>4.706555820476316</v>
          </cell>
          <cell r="F35">
            <v>6.1558441558441555</v>
          </cell>
          <cell r="G35">
            <v>5.1000000000000005</v>
          </cell>
          <cell r="H35">
            <v>2.3529671451536669</v>
          </cell>
          <cell r="I35">
            <v>-0.29412347532034117</v>
          </cell>
          <cell r="J35">
            <v>61</v>
          </cell>
          <cell r="K35">
            <v>2.360655737704918</v>
          </cell>
          <cell r="L35">
            <v>2</v>
          </cell>
          <cell r="Q35">
            <v>1</v>
          </cell>
          <cell r="R35">
            <v>2.8813559322033897</v>
          </cell>
          <cell r="S35">
            <v>30.38189940746717</v>
          </cell>
          <cell r="T35">
            <v>17</v>
          </cell>
          <cell r="AA35" t="str">
            <v>Ayoul-Bellot Thais</v>
          </cell>
        </row>
        <row r="36">
          <cell r="A36" t="str">
            <v>Allano Antoine</v>
          </cell>
          <cell r="B36" t="str">
            <v>x</v>
          </cell>
          <cell r="C36">
            <v>34.975999999999999</v>
          </cell>
          <cell r="D36">
            <v>5</v>
          </cell>
          <cell r="E36">
            <v>4.9131089903658678</v>
          </cell>
          <cell r="F36">
            <v>5.7878510378510377</v>
          </cell>
          <cell r="G36">
            <v>5.7</v>
          </cell>
          <cell r="H36">
            <v>2.4561444623967512</v>
          </cell>
          <cell r="I36">
            <v>-0.70175443049231145</v>
          </cell>
          <cell r="J36">
            <v>69</v>
          </cell>
          <cell r="K36">
            <v>2.0869565217391304</v>
          </cell>
          <cell r="L36">
            <v>1</v>
          </cell>
          <cell r="R36">
            <v>2.6984126984126986</v>
          </cell>
          <cell r="S36">
            <v>26.242306607045624</v>
          </cell>
          <cell r="T36">
            <v>26</v>
          </cell>
          <cell r="AA36" t="str">
            <v>Cojean Gwendal</v>
          </cell>
        </row>
        <row r="37">
          <cell r="A37" t="str">
            <v>Le Cam Alan</v>
          </cell>
          <cell r="B37" t="str">
            <v>x</v>
          </cell>
          <cell r="C37">
            <v>88.948999999999955</v>
          </cell>
          <cell r="D37">
            <v>7.5</v>
          </cell>
          <cell r="E37">
            <v>6.0005445504605524</v>
          </cell>
          <cell r="F37">
            <v>6.1075837742504415</v>
          </cell>
          <cell r="G37">
            <v>3</v>
          </cell>
          <cell r="H37">
            <v>4.6666995194380672</v>
          </cell>
          <cell r="I37">
            <v>-0.16668176221157879</v>
          </cell>
          <cell r="J37">
            <v>64</v>
          </cell>
          <cell r="K37">
            <v>2.25</v>
          </cell>
          <cell r="L37">
            <v>1</v>
          </cell>
          <cell r="R37">
            <v>2.2666666666666666</v>
          </cell>
          <cell r="S37">
            <v>30.358146099222758</v>
          </cell>
          <cell r="T37">
            <v>18</v>
          </cell>
        </row>
        <row r="38">
          <cell r="A38" t="str">
            <v>Jugé Léana</v>
          </cell>
          <cell r="B38" t="str">
            <v>x</v>
          </cell>
          <cell r="C38">
            <v>-30.033999999999992</v>
          </cell>
          <cell r="D38">
            <v>0</v>
          </cell>
          <cell r="E38">
            <v>0.71472729486052367</v>
          </cell>
          <cell r="F38">
            <v>5.8047619047619046</v>
          </cell>
          <cell r="G38">
            <v>2.8000000000000003</v>
          </cell>
          <cell r="H38">
            <v>0.71428720608583907</v>
          </cell>
          <cell r="I38">
            <v>-0.1785747483609392</v>
          </cell>
          <cell r="J38">
            <v>10</v>
          </cell>
          <cell r="K38">
            <v>1.8</v>
          </cell>
          <cell r="L38">
            <v>2</v>
          </cell>
          <cell r="R38">
            <v>28.333333333333332</v>
          </cell>
          <cell r="S38">
            <v>13.655201718376803</v>
          </cell>
          <cell r="T38">
            <v>37</v>
          </cell>
        </row>
        <row r="39">
          <cell r="A39" t="str">
            <v>Simon Titouan</v>
          </cell>
          <cell r="B39" t="str">
            <v>x</v>
          </cell>
          <cell r="C39">
            <v>-17.088999999999999</v>
          </cell>
          <cell r="D39">
            <v>0</v>
          </cell>
          <cell r="E39">
            <v>2.7276474219874514</v>
          </cell>
          <cell r="F39">
            <v>5.0340136054421771</v>
          </cell>
          <cell r="G39">
            <v>3.3000000000000003</v>
          </cell>
          <cell r="H39">
            <v>4.8772479305900125E-5</v>
          </cell>
          <cell r="I39">
            <v>-1.532950623139699E-7</v>
          </cell>
          <cell r="J39">
            <v>102</v>
          </cell>
          <cell r="K39">
            <v>1.1176470588235294</v>
          </cell>
          <cell r="L39">
            <v>2</v>
          </cell>
          <cell r="R39">
            <v>1.1111111111111112</v>
          </cell>
          <cell r="S39">
            <v>14.17935676305359</v>
          </cell>
          <cell r="T39">
            <v>36</v>
          </cell>
          <cell r="Z39">
            <v>1</v>
          </cell>
          <cell r="AA39" t="str">
            <v>Morin</v>
          </cell>
          <cell r="AC39">
            <v>41.861029095997161</v>
          </cell>
        </row>
        <row r="40">
          <cell r="A40" t="str">
            <v>Zaragoza Quentin</v>
          </cell>
          <cell r="B40" t="str">
            <v>x</v>
          </cell>
          <cell r="C40">
            <v>151.95299999999997</v>
          </cell>
          <cell r="D40">
            <v>9.5</v>
          </cell>
          <cell r="E40">
            <v>5.3665757374525977</v>
          </cell>
          <cell r="F40">
            <v>5.658163265306122</v>
          </cell>
          <cell r="G40">
            <v>8.2000000000000011</v>
          </cell>
          <cell r="H40">
            <v>4.8780550647486454</v>
          </cell>
          <cell r="I40">
            <v>-6.0981015987832815E-2</v>
          </cell>
          <cell r="J40">
            <v>16</v>
          </cell>
          <cell r="K40">
            <v>7.125</v>
          </cell>
          <cell r="L40">
            <v>2.2000000000000002</v>
          </cell>
          <cell r="R40">
            <v>2</v>
          </cell>
          <cell r="S40">
            <v>42.866813101358851</v>
          </cell>
          <cell r="T40">
            <v>8</v>
          </cell>
          <cell r="Z40">
            <v>2</v>
          </cell>
          <cell r="AA40" t="str">
            <v>Guehennec</v>
          </cell>
          <cell r="AC40">
            <v>36.668140608183776</v>
          </cell>
        </row>
        <row r="41">
          <cell r="A41" t="str">
            <v>Ayoul-Bellot Thais</v>
          </cell>
          <cell r="B41" t="str">
            <v>x</v>
          </cell>
          <cell r="C41">
            <v>-21.024099999999976</v>
          </cell>
          <cell r="D41">
            <v>0</v>
          </cell>
          <cell r="E41">
            <v>1.1119867485718127</v>
          </cell>
          <cell r="F41">
            <v>5.0340136054421771</v>
          </cell>
          <cell r="G41">
            <v>1.8</v>
          </cell>
          <cell r="H41">
            <v>2.6023073193711838E-5</v>
          </cell>
          <cell r="I41">
            <v>-8.2716904765390652E-7</v>
          </cell>
          <cell r="J41">
            <v>12</v>
          </cell>
          <cell r="K41">
            <v>0.83333333333333337</v>
          </cell>
          <cell r="L41">
            <v>2</v>
          </cell>
          <cell r="R41">
            <v>11.4</v>
          </cell>
          <cell r="S41">
            <v>10.779358976329231</v>
          </cell>
          <cell r="T41">
            <v>39</v>
          </cell>
          <cell r="Z41">
            <v>3</v>
          </cell>
          <cell r="AA41" t="str">
            <v>Couture</v>
          </cell>
          <cell r="AC41">
            <v>35.955549004299201</v>
          </cell>
        </row>
        <row r="42">
          <cell r="A42" t="str">
            <v>Ravel Serge</v>
          </cell>
          <cell r="B42" t="str">
            <v>x</v>
          </cell>
          <cell r="C42">
            <v>3.1580000000000155</v>
          </cell>
          <cell r="D42">
            <v>0</v>
          </cell>
          <cell r="E42">
            <v>2.7784364628483784</v>
          </cell>
          <cell r="F42">
            <v>5.1785714285714288</v>
          </cell>
          <cell r="G42">
            <v>1.8</v>
          </cell>
          <cell r="H42">
            <v>1.1112139697868508</v>
          </cell>
          <cell r="I42">
            <v>-1.7768259232551657E-5</v>
          </cell>
          <cell r="J42">
            <v>551</v>
          </cell>
          <cell r="L42">
            <v>1</v>
          </cell>
          <cell r="Q42">
            <v>1</v>
          </cell>
          <cell r="R42">
            <v>3</v>
          </cell>
          <cell r="S42">
            <v>12.868204191884193</v>
          </cell>
          <cell r="T42">
            <v>38</v>
          </cell>
          <cell r="Z42">
            <v>4</v>
          </cell>
          <cell r="AA42" t="str">
            <v>Zaragoza</v>
          </cell>
          <cell r="AC42">
            <v>34.941956424108845</v>
          </cell>
        </row>
        <row r="43">
          <cell r="A43" t="str">
            <v>Sail Anthony</v>
          </cell>
          <cell r="B43" t="str">
            <v>x</v>
          </cell>
          <cell r="C43">
            <v>-21.836000000000013</v>
          </cell>
          <cell r="D43">
            <v>0</v>
          </cell>
          <cell r="E43">
            <v>1.6667125703441801</v>
          </cell>
          <cell r="F43">
            <v>5.1785714285714288</v>
          </cell>
          <cell r="G43">
            <v>1.8</v>
          </cell>
          <cell r="H43">
            <v>7.2938399259726082E-5</v>
          </cell>
          <cell r="I43">
            <v>-2.6920747829747597E-5</v>
          </cell>
          <cell r="J43">
            <v>382</v>
          </cell>
          <cell r="L43">
            <v>1</v>
          </cell>
          <cell r="R43">
            <v>0.41142857142857142</v>
          </cell>
          <cell r="S43">
            <v>9.6453300172874474</v>
          </cell>
          <cell r="T43">
            <v>40</v>
          </cell>
          <cell r="Z43">
            <v>5</v>
          </cell>
          <cell r="AA43" t="str">
            <v>Roszak</v>
          </cell>
          <cell r="AC43">
            <v>32.181925795467457</v>
          </cell>
        </row>
        <row r="44">
          <cell r="A44" t="str">
            <v>Cojean Gwendal</v>
          </cell>
          <cell r="B44" t="str">
            <v>x</v>
          </cell>
          <cell r="C44">
            <v>-26.593999999999994</v>
          </cell>
          <cell r="D44">
            <v>0</v>
          </cell>
          <cell r="E44">
            <v>0</v>
          </cell>
          <cell r="F44">
            <v>0</v>
          </cell>
          <cell r="G44">
            <v>1.4000000000000001</v>
          </cell>
          <cell r="H44">
            <v>0</v>
          </cell>
          <cell r="I44">
            <v>1</v>
          </cell>
          <cell r="J44">
            <v>108</v>
          </cell>
          <cell r="L44">
            <v>2</v>
          </cell>
          <cell r="R44">
            <v>1</v>
          </cell>
          <cell r="S44">
            <v>4.4000000200688776</v>
          </cell>
          <cell r="T44">
            <v>41</v>
          </cell>
          <cell r="Z44">
            <v>6</v>
          </cell>
          <cell r="AA44" t="str">
            <v>Vilain</v>
          </cell>
          <cell r="AC44">
            <v>24.824304872321378</v>
          </cell>
        </row>
        <row r="45">
          <cell r="Z45">
            <v>7</v>
          </cell>
          <cell r="AA45" t="str">
            <v>Sail</v>
          </cell>
          <cell r="AC45">
            <v>23.897420013054475</v>
          </cell>
        </row>
        <row r="46">
          <cell r="Z46">
            <v>8</v>
          </cell>
          <cell r="AA46" t="str">
            <v>Le Cam</v>
          </cell>
          <cell r="AC46">
            <v>23.378016396935088</v>
          </cell>
        </row>
        <row r="47">
          <cell r="Z47">
            <v>9</v>
          </cell>
          <cell r="AA47" t="str">
            <v>Cojean</v>
          </cell>
          <cell r="AC47">
            <v>22.728490519998488</v>
          </cell>
        </row>
        <row r="48">
          <cell r="Z48">
            <v>10</v>
          </cell>
          <cell r="AA48" t="str">
            <v>Mierzwa</v>
          </cell>
          <cell r="AC48">
            <v>18.606349785140406</v>
          </cell>
        </row>
      </sheetData>
      <sheetData sheetId="11">
        <row r="1">
          <cell r="O1">
            <v>42181.000000209788</v>
          </cell>
          <cell r="P1" t="str">
            <v>AG MTT</v>
          </cell>
        </row>
        <row r="2">
          <cell r="O2">
            <v>42184.000000196182</v>
          </cell>
          <cell r="P2" t="str">
            <v>comité directeur</v>
          </cell>
        </row>
        <row r="3">
          <cell r="O3">
            <v>42189.000000764412</v>
          </cell>
          <cell r="P3" t="str">
            <v>Vacances : Vacances d'été</v>
          </cell>
        </row>
        <row r="4">
          <cell r="O4">
            <v>42259.000000938366</v>
          </cell>
          <cell r="P4" t="str">
            <v>Tournoi de rentrée</v>
          </cell>
        </row>
        <row r="5">
          <cell r="O5">
            <v>42266.000000219632</v>
          </cell>
          <cell r="P5" t="str">
            <v xml:space="preserve"> Ass.Gén. 56</v>
          </cell>
        </row>
        <row r="6">
          <cell r="O6">
            <v>42269.000000137588</v>
          </cell>
          <cell r="P6" t="str">
            <v>comité directeur</v>
          </cell>
        </row>
        <row r="7">
          <cell r="O7">
            <v>42273.000000242202</v>
          </cell>
          <cell r="P7" t="str">
            <v>engagement éq. Jeunes:</v>
          </cell>
        </row>
        <row r="8">
          <cell r="O8">
            <v>42286.000000564069</v>
          </cell>
          <cell r="P8" t="str">
            <v>engagement Circuit jeune:</v>
          </cell>
        </row>
        <row r="9">
          <cell r="O9">
            <v>42353.000000724103</v>
          </cell>
          <cell r="P9" t="str">
            <v>TOP 56</v>
          </cell>
        </row>
        <row r="10">
          <cell r="O10">
            <v>50000</v>
          </cell>
          <cell r="P10" t="str">
            <v/>
          </cell>
        </row>
        <row r="39">
          <cell r="J39" t="str">
            <v>Vétérans 56</v>
          </cell>
          <cell r="K39">
            <v>41959</v>
          </cell>
        </row>
        <row r="40">
          <cell r="J40" t="str">
            <v>Final/clast/56</v>
          </cell>
          <cell r="K40">
            <v>42064</v>
          </cell>
        </row>
        <row r="41">
          <cell r="B41">
            <v>41903</v>
          </cell>
        </row>
        <row r="77">
          <cell r="F77">
            <v>50000</v>
          </cell>
          <cell r="G77">
            <v>0</v>
          </cell>
          <cell r="H77">
            <v>50000</v>
          </cell>
          <cell r="I77" t="str">
            <v>Tournoi de la galette</v>
          </cell>
          <cell r="J77" t="str">
            <v>Qui seront les Rois et Reines de la soirée</v>
          </cell>
        </row>
        <row r="78">
          <cell r="B78" t="str">
            <v/>
          </cell>
          <cell r="F78">
            <v>50000</v>
          </cell>
          <cell r="G78">
            <v>42134</v>
          </cell>
          <cell r="H78">
            <v>50000</v>
          </cell>
          <cell r="I78" t="str">
            <v>Titres / équipes</v>
          </cell>
          <cell r="J78" t="str">
            <v/>
          </cell>
        </row>
        <row r="79">
          <cell r="B79" t="b">
            <v>0</v>
          </cell>
          <cell r="F79">
            <v>50000</v>
          </cell>
          <cell r="G79">
            <v>41908</v>
          </cell>
          <cell r="H79">
            <v>50000</v>
          </cell>
          <cell r="I79" t="str">
            <v>Championnat  J1</v>
          </cell>
          <cell r="J79" t="str">
            <v>MTT1  Vict 13 - 1  , MTT2  Vict 9 - 5  , MTT3  Vict 14 - 0  , MTT4  Déf 9 - 5  , MTT5  Vict 8 - 6</v>
          </cell>
        </row>
        <row r="80">
          <cell r="B80" t="b">
            <v>0</v>
          </cell>
          <cell r="F80">
            <v>50000</v>
          </cell>
          <cell r="G80">
            <v>41915</v>
          </cell>
          <cell r="H80">
            <v>50000</v>
          </cell>
          <cell r="I80" t="str">
            <v>Championnat  J2</v>
          </cell>
          <cell r="J80" t="str">
            <v>MTT1  Vict 9 - 5  , MTT2  Nul 7 - 7  , MTT3  Vict 14 - 0  , MTT4  Vict 8 - 6  , MTT5  Vict 9 - 5</v>
          </cell>
        </row>
        <row r="81">
          <cell r="B81" t="b">
            <v>0</v>
          </cell>
          <cell r="F81">
            <v>50000</v>
          </cell>
          <cell r="G81">
            <v>41929</v>
          </cell>
          <cell r="H81">
            <v>50000</v>
          </cell>
          <cell r="I81" t="str">
            <v>Championnat  J3</v>
          </cell>
          <cell r="J81" t="str">
            <v>MTT1  Vict 11 - 3  , MTT2  Déf 10 - 4  , MTT3  Vict 9 - 5  , MTT4  Déf 11 - 3  , MTT5  Déf 12 - 2</v>
          </cell>
        </row>
        <row r="82">
          <cell r="B82" t="b">
            <v>0</v>
          </cell>
          <cell r="F82">
            <v>50000</v>
          </cell>
          <cell r="G82">
            <v>41950</v>
          </cell>
          <cell r="H82">
            <v>50000</v>
          </cell>
          <cell r="I82" t="str">
            <v>Championnat  J4</v>
          </cell>
          <cell r="J82" t="str">
            <v xml:space="preserve">MTT1  Vict 11 - 3  , MTT2  Vict 9 - 5  , MTT3  Vict 10 - 4  , MTT4  Déf 10 - 4  , MTT5  </v>
          </cell>
        </row>
        <row r="83">
          <cell r="B83" t="b">
            <v>0</v>
          </cell>
          <cell r="F83">
            <v>50000</v>
          </cell>
          <cell r="G83">
            <v>41964</v>
          </cell>
          <cell r="H83">
            <v>50000</v>
          </cell>
          <cell r="I83" t="str">
            <v>Championnat  J5</v>
          </cell>
          <cell r="J83" t="str">
            <v>MTT1  Vict 12 - 2  , MTT2  Vict 13 - 1  , MTT3  Vict 8 - 6  , MTT4  Déf 11 - 3  , MTT5  Nul 7 - 7</v>
          </cell>
        </row>
        <row r="84">
          <cell r="B84" t="b">
            <v>0</v>
          </cell>
          <cell r="F84">
            <v>50000</v>
          </cell>
          <cell r="G84">
            <v>41978</v>
          </cell>
          <cell r="H84">
            <v>50000</v>
          </cell>
          <cell r="I84" t="str">
            <v>Championnat  J6</v>
          </cell>
          <cell r="J84" t="str">
            <v>MTT1  Vict 12 - 2  , MTT2  Vict 11 - 3  , MTT3  Vict 11 - 3  , MTT4  Déf 13 - 1  , MTT5  Déf 8 - 6</v>
          </cell>
        </row>
        <row r="85">
          <cell r="B85" t="b">
            <v>0</v>
          </cell>
          <cell r="F85">
            <v>50000</v>
          </cell>
          <cell r="G85">
            <v>41985</v>
          </cell>
          <cell r="H85">
            <v>50000</v>
          </cell>
          <cell r="I85" t="str">
            <v>Championnat  J7</v>
          </cell>
          <cell r="J85" t="str">
            <v>MTT1  Vict 10 - 4  , MTT2  Déf 8 - 6  , MTT3  Vict 11 - 3  , MTT4  Nul 7 - 7  , MTT5  Déf 11 - 3</v>
          </cell>
        </row>
        <row r="86">
          <cell r="B86" t="b">
            <v>0</v>
          </cell>
          <cell r="F86">
            <v>50000</v>
          </cell>
          <cell r="G86">
            <v>42020</v>
          </cell>
          <cell r="H86">
            <v>50000</v>
          </cell>
          <cell r="I86" t="str">
            <v>Championnat  J8</v>
          </cell>
          <cell r="J86" t="str">
            <v>MTT1  Vict 14 - 0  , MTT2  Vict 11 - 3  , MTT3  Vict 9 - 5  , MTT4  Vict 9 - 5  , MTT5  Vict 13 - 1</v>
          </cell>
        </row>
        <row r="87">
          <cell r="F87">
            <v>50000</v>
          </cell>
          <cell r="G87">
            <v>42034</v>
          </cell>
          <cell r="H87">
            <v>50000</v>
          </cell>
          <cell r="I87" t="str">
            <v>Championnat  J9</v>
          </cell>
          <cell r="J87" t="str">
            <v>MTT1  Vict 9 - 5  , MTT2  Vict 10 - 4  , MTT3  Déf 8 - 6  , MTT4  Déf 8 - 6  , MTT5  Déf 9 - 5</v>
          </cell>
        </row>
        <row r="88">
          <cell r="F88">
            <v>50000</v>
          </cell>
          <cell r="G88">
            <v>42041</v>
          </cell>
          <cell r="H88">
            <v>50000</v>
          </cell>
          <cell r="I88" t="str">
            <v>Championnat  J10</v>
          </cell>
          <cell r="J88" t="str">
            <v>MTT1  Vict 10 - 4  , MTT2  Vict 10 - 4  , MTT3  Vict 9 - 5  , MTT4  Vict 12 - 2  , MTT5  Déf 11 - 3</v>
          </cell>
        </row>
        <row r="89">
          <cell r="F89">
            <v>50000</v>
          </cell>
          <cell r="G89">
            <v>42069</v>
          </cell>
          <cell r="H89">
            <v>50000</v>
          </cell>
          <cell r="I89" t="str">
            <v>Championnat  J11</v>
          </cell>
          <cell r="J89" t="str">
            <v>MTT1  Déf 8 - 6  , MTT2  Nul 7 - 7  , MTT3  Déf 10 - 4  , MTT4  Déf 9 - 5  , MTT5  Vict 11 - 3</v>
          </cell>
        </row>
        <row r="90">
          <cell r="F90">
            <v>50000</v>
          </cell>
          <cell r="G90">
            <v>42076</v>
          </cell>
          <cell r="H90">
            <v>50000</v>
          </cell>
          <cell r="I90" t="str">
            <v>Championnat  J12</v>
          </cell>
          <cell r="J90" t="str">
            <v>MTT1  Nul 7 - 7  , MTT2  Nul 7 - 7  , MTT3  Vict 8 - 6  , MTT4  Déf 8 - 6  , MTT5  Vict 8 - 6</v>
          </cell>
        </row>
        <row r="91">
          <cell r="F91">
            <v>50000</v>
          </cell>
          <cell r="G91">
            <v>42090</v>
          </cell>
          <cell r="H91">
            <v>50000</v>
          </cell>
          <cell r="I91" t="str">
            <v>Championnat  J13</v>
          </cell>
          <cell r="J91" t="str">
            <v>MTT1  Vict 12 - 2  , MTT2  Vict 10 - 4  , MTT3  Vict 13 - 1  , MTT4  Déf 8 - 6  , MTT5  Vict 9 - 5</v>
          </cell>
        </row>
        <row r="92">
          <cell r="F92">
            <v>50000</v>
          </cell>
          <cell r="G92">
            <v>42104</v>
          </cell>
          <cell r="H92">
            <v>50000</v>
          </cell>
          <cell r="I92" t="str">
            <v>Championnat  J14</v>
          </cell>
          <cell r="J92" t="str">
            <v>MTT1  Vict 10 - 4  , MTT2  Vict 12 - 2  , MTT3  Déf 9 - 5  , MTT4  Nul 7 - 7  , MTT5  Déf 9 - 5</v>
          </cell>
        </row>
        <row r="93">
          <cell r="F93">
            <v>50000</v>
          </cell>
          <cell r="G93">
            <v>41930</v>
          </cell>
          <cell r="H93">
            <v>50000</v>
          </cell>
          <cell r="I93" t="str">
            <v>Vacances : Toussaint</v>
          </cell>
          <cell r="J93" t="str">
            <v>L'entraînement " 20h / 22h " du lundi est assuré toute l'année grâce à M-Paule  !</v>
          </cell>
        </row>
        <row r="94">
          <cell r="F94">
            <v>50000</v>
          </cell>
          <cell r="G94">
            <v>41993</v>
          </cell>
          <cell r="H94">
            <v>50000</v>
          </cell>
          <cell r="I94" t="str">
            <v>Vacances : Noël</v>
          </cell>
          <cell r="J94" t="str">
            <v>L'entraînement " 20h / 22h " du lundi est assuré toute l'année grâce à M-Paule !</v>
          </cell>
        </row>
        <row r="95">
          <cell r="F95">
            <v>50000</v>
          </cell>
          <cell r="G95">
            <v>42042</v>
          </cell>
          <cell r="H95">
            <v>50000</v>
          </cell>
          <cell r="I95" t="str">
            <v>Vacances : Hiver</v>
          </cell>
          <cell r="J95" t="str">
            <v>L'entraînement " 20h / 22h " du lundi est assuré toute l'année grâce à M-Paule !</v>
          </cell>
        </row>
        <row r="96">
          <cell r="F96">
            <v>50000</v>
          </cell>
          <cell r="G96">
            <v>42105</v>
          </cell>
          <cell r="H96">
            <v>50000</v>
          </cell>
          <cell r="I96" t="str">
            <v>Vacances : Printemps</v>
          </cell>
          <cell r="J96" t="str">
            <v>L'entraînement " 20h / 22h " du lundi est assuré toute l'année grâce à M-Paule  !</v>
          </cell>
        </row>
        <row r="97">
          <cell r="F97">
            <v>42189.000000356107</v>
          </cell>
          <cell r="G97">
            <v>42189</v>
          </cell>
          <cell r="H97">
            <v>42189.000000764412</v>
          </cell>
          <cell r="I97" t="str">
            <v>Vacances : Vacances d'été</v>
          </cell>
          <cell r="J97" t="str">
            <v>L'entraînement " 20h / 22h " du lundi est assuré toute l'année grâce à M-Paule !</v>
          </cell>
        </row>
        <row r="98">
          <cell r="F98">
            <v>50000</v>
          </cell>
          <cell r="G98">
            <v>0</v>
          </cell>
          <cell r="H98">
            <v>50000</v>
          </cell>
          <cell r="I98">
            <v>0</v>
          </cell>
        </row>
        <row r="99">
          <cell r="F99">
            <v>50000</v>
          </cell>
          <cell r="G99">
            <v>0</v>
          </cell>
          <cell r="H99">
            <v>50000</v>
          </cell>
          <cell r="I99">
            <v>0</v>
          </cell>
        </row>
        <row r="100">
          <cell r="F100">
            <v>50000</v>
          </cell>
          <cell r="G100">
            <v>0</v>
          </cell>
          <cell r="H100">
            <v>50000</v>
          </cell>
          <cell r="I100" t="str">
            <v>Critérium fédéral</v>
          </cell>
        </row>
        <row r="101">
          <cell r="F101">
            <v>50000</v>
          </cell>
          <cell r="G101">
            <v>0</v>
          </cell>
          <cell r="H101">
            <v>50000</v>
          </cell>
          <cell r="I101">
            <v>0</v>
          </cell>
        </row>
        <row r="102">
          <cell r="F102">
            <v>50000</v>
          </cell>
          <cell r="G102">
            <v>41923</v>
          </cell>
          <cell r="H102">
            <v>50000</v>
          </cell>
          <cell r="I102" t="str">
            <v xml:space="preserve">Critérium Journée 1 </v>
          </cell>
          <cell r="J102" t="str">
            <v xml:space="preserve"> Les résultats détaillés sont dans Autres Résultats !...</v>
          </cell>
        </row>
        <row r="103">
          <cell r="F103">
            <v>50000</v>
          </cell>
          <cell r="G103">
            <v>41972</v>
          </cell>
          <cell r="H103">
            <v>50000</v>
          </cell>
          <cell r="I103" t="str">
            <v>Critérium Journée 2</v>
          </cell>
          <cell r="J103" t="str">
            <v xml:space="preserve"> Les résultats détaillés sont dans Autres Résultats !...</v>
          </cell>
        </row>
        <row r="104">
          <cell r="F104">
            <v>50000</v>
          </cell>
          <cell r="G104">
            <v>42028</v>
          </cell>
          <cell r="H104">
            <v>50000</v>
          </cell>
          <cell r="I104" t="str">
            <v>Critérium Journée 3</v>
          </cell>
          <cell r="J104" t="str">
            <v xml:space="preserve"> Les résultats détaillés sont dans Autres Résultats !...</v>
          </cell>
        </row>
        <row r="105">
          <cell r="F105">
            <v>50000</v>
          </cell>
          <cell r="G105">
            <v>42084</v>
          </cell>
          <cell r="H105">
            <v>50000</v>
          </cell>
          <cell r="I105" t="str">
            <v>Critérium Journée 4</v>
          </cell>
          <cell r="J105" t="str">
            <v xml:space="preserve"> Les résultats détaillés sont dans Autres Résultats !...</v>
          </cell>
        </row>
        <row r="106">
          <cell r="F106">
            <v>50000</v>
          </cell>
          <cell r="G106">
            <v>0</v>
          </cell>
          <cell r="H106">
            <v>50000</v>
          </cell>
        </row>
        <row r="107">
          <cell r="F107">
            <v>50000</v>
          </cell>
          <cell r="G107">
            <v>0</v>
          </cell>
          <cell r="H107">
            <v>50000</v>
          </cell>
        </row>
        <row r="108">
          <cell r="F108">
            <v>50000</v>
          </cell>
          <cell r="G108">
            <v>0</v>
          </cell>
          <cell r="H108">
            <v>50000</v>
          </cell>
          <cell r="I108" t="str">
            <v>Coupe du Morbihan</v>
          </cell>
        </row>
        <row r="109">
          <cell r="F109">
            <v>50000</v>
          </cell>
          <cell r="G109">
            <v>0</v>
          </cell>
          <cell r="H109">
            <v>50000</v>
          </cell>
          <cell r="I109" t="str">
            <v>Coupe  Journée 1</v>
          </cell>
          <cell r="J109" t="str">
            <v>B2 : reçoit FAUX0/0 ; B1 : reçoit FAUX0/0 ; A : va à 00/0</v>
          </cell>
        </row>
        <row r="110">
          <cell r="F110">
            <v>50000</v>
          </cell>
          <cell r="G110">
            <v>0</v>
          </cell>
          <cell r="H110">
            <v>50000</v>
          </cell>
          <cell r="I110" t="str">
            <v>Coupe  Journée 2</v>
          </cell>
          <cell r="J110" t="str">
            <v>B2 : reçoit FAUX0/0 ; B1 : reçoit FAUX0/0 ; A : va à 00/0</v>
          </cell>
        </row>
        <row r="111">
          <cell r="F111">
            <v>50000</v>
          </cell>
          <cell r="G111">
            <v>0</v>
          </cell>
          <cell r="H111">
            <v>50000</v>
          </cell>
          <cell r="I111" t="str">
            <v>Coupe  Journée 3</v>
          </cell>
          <cell r="J111" t="str">
            <v>B2 : reçoit FAUX  0/0 ; B1 : reçoit FAUX    0/0 ; A : va à 0    0/0</v>
          </cell>
        </row>
        <row r="112">
          <cell r="F112">
            <v>50000</v>
          </cell>
          <cell r="G112">
            <v>0</v>
          </cell>
          <cell r="H112">
            <v>50000</v>
          </cell>
          <cell r="I112" t="str">
            <v>Coupe  Journée 4</v>
          </cell>
          <cell r="J112" t="str">
            <v>B2 : reçoit FAUX    0/0 ; B1 : reçoit FAUX    0/0 ; A : va à 0    0/0</v>
          </cell>
        </row>
        <row r="113">
          <cell r="F113">
            <v>50000</v>
          </cell>
          <cell r="G113">
            <v>0</v>
          </cell>
          <cell r="H113">
            <v>50000</v>
          </cell>
          <cell r="I113" t="str">
            <v>Coupe  Journée 5</v>
          </cell>
          <cell r="J113" t="str">
            <v>B2 : reçoit FAUX    0/0 ; B1 : reçoit FAUX    0/0 ; A : va à 0    0/0</v>
          </cell>
        </row>
        <row r="114">
          <cell r="F114">
            <v>50000</v>
          </cell>
          <cell r="G114">
            <v>0</v>
          </cell>
          <cell r="H114">
            <v>50000</v>
          </cell>
          <cell r="I114" t="str">
            <v>Coupe  :1/8 de finale</v>
          </cell>
          <cell r="J114" t="str">
            <v/>
          </cell>
        </row>
        <row r="115">
          <cell r="F115">
            <v>50000</v>
          </cell>
          <cell r="G115">
            <v>0</v>
          </cell>
          <cell r="H115">
            <v>50000</v>
          </cell>
          <cell r="I115" t="str">
            <v>Coupe  :1/4 de finale</v>
          </cell>
          <cell r="J115" t="str">
            <v/>
          </cell>
        </row>
        <row r="116">
          <cell r="F116">
            <v>50000</v>
          </cell>
          <cell r="G116">
            <v>0</v>
          </cell>
          <cell r="H116">
            <v>50000</v>
          </cell>
          <cell r="I116" t="str">
            <v>Coupe  :1/2 finale</v>
          </cell>
          <cell r="J116" t="str">
            <v>A :  Forfait   /</v>
          </cell>
        </row>
        <row r="117">
          <cell r="F117">
            <v>50000</v>
          </cell>
          <cell r="G117">
            <v>0</v>
          </cell>
          <cell r="H117">
            <v>50000</v>
          </cell>
          <cell r="I117" t="str">
            <v>Coupe  :Finale</v>
          </cell>
          <cell r="J117" t="str">
            <v/>
          </cell>
        </row>
        <row r="118">
          <cell r="F118">
            <v>50000</v>
          </cell>
          <cell r="G118">
            <v>42015</v>
          </cell>
          <cell r="H118">
            <v>50000</v>
          </cell>
          <cell r="I118" t="str">
            <v>Vétérans Bretagne</v>
          </cell>
          <cell r="J118" t="str">
            <v xml:space="preserve"> -  -  -  -  -  -  -  -  -  -  -  -  - </v>
          </cell>
        </row>
        <row r="119">
          <cell r="F119">
            <v>42162.000000908847</v>
          </cell>
          <cell r="G119">
            <v>42162</v>
          </cell>
          <cell r="H119">
            <v>50000</v>
          </cell>
          <cell r="I119" t="str">
            <v>Champ. Bretagne</v>
          </cell>
          <cell r="J119" t="str">
            <v xml:space="preserve">Morin Léa -  -  -  -  -  -  - </v>
          </cell>
        </row>
        <row r="120">
          <cell r="F120">
            <v>50000</v>
          </cell>
          <cell r="G120">
            <v>42127</v>
          </cell>
          <cell r="H120">
            <v>50000</v>
          </cell>
          <cell r="I120" t="str">
            <v>Final/clast/Bret</v>
          </cell>
          <cell r="J120" t="str">
            <v xml:space="preserve">Morin Léa - 8ème - Morin Quentin - 9ème - Couture Nicolas - 7ème -  -  - </v>
          </cell>
        </row>
        <row r="121">
          <cell r="F121">
            <v>50000</v>
          </cell>
          <cell r="G121">
            <v>42134</v>
          </cell>
          <cell r="H121">
            <v>50000</v>
          </cell>
          <cell r="I121" t="str">
            <v>Titres / équipes/Bret</v>
          </cell>
          <cell r="J121" t="str">
            <v xml:space="preserve">-  -  -  -  -  -  -  -  -  -  -  -  -  -  -  -  -  -  -  -  -  </v>
          </cell>
        </row>
        <row r="122">
          <cell r="F122">
            <v>50000</v>
          </cell>
          <cell r="G122">
            <v>0</v>
          </cell>
          <cell r="H122">
            <v>50000</v>
          </cell>
          <cell r="I122">
            <v>0</v>
          </cell>
        </row>
        <row r="123">
          <cell r="F123">
            <v>50000</v>
          </cell>
          <cell r="G123">
            <v>0</v>
          </cell>
          <cell r="H123">
            <v>50000</v>
          </cell>
          <cell r="I123" t="str">
            <v>Open jeune</v>
          </cell>
        </row>
        <row r="124">
          <cell r="F124">
            <v>50000</v>
          </cell>
          <cell r="G124">
            <v>41993</v>
          </cell>
          <cell r="H124">
            <v>50000</v>
          </cell>
          <cell r="I124" t="str">
            <v xml:space="preserve">Open jeune Journée 1 </v>
          </cell>
          <cell r="J124" t="str">
            <v xml:space="preserve">-  -  -  -  -  -  -  -  -  -  -  -  -  -  -  -  -  -  -  -  -  </v>
          </cell>
        </row>
        <row r="125">
          <cell r="F125">
            <v>50000</v>
          </cell>
          <cell r="G125">
            <v>42070</v>
          </cell>
          <cell r="H125">
            <v>50000</v>
          </cell>
          <cell r="I125" t="str">
            <v>Open jeune Journée 2</v>
          </cell>
          <cell r="J125" t="str">
            <v xml:space="preserve">-  -  -  -  -  -  -  -  -  -  -  -  -  -  -  -  -  -  -  -  -  </v>
          </cell>
        </row>
        <row r="126">
          <cell r="F126">
            <v>50000</v>
          </cell>
          <cell r="G126">
            <v>42154</v>
          </cell>
          <cell r="H126">
            <v>50000</v>
          </cell>
          <cell r="I126" t="str">
            <v>Open jeune Journée 3</v>
          </cell>
          <cell r="J126" t="str">
            <v xml:space="preserve">-  -  -  -  -  -  -  -  -  -  -  -  -  -  -  -  -  -  -  -  -  </v>
          </cell>
        </row>
        <row r="127">
          <cell r="F127">
            <v>50000</v>
          </cell>
          <cell r="G127">
            <v>0</v>
          </cell>
          <cell r="H127">
            <v>50000</v>
          </cell>
          <cell r="I127" t="str">
            <v xml:space="preserve">Open jeune </v>
          </cell>
          <cell r="J127" t="str">
            <v xml:space="preserve">-  -  -  -  -  -  -  -  -  -  -  -  -  -  -  -  -  -  -  -  -  </v>
          </cell>
        </row>
        <row r="128">
          <cell r="F128">
            <v>50000</v>
          </cell>
          <cell r="G128">
            <v>42155</v>
          </cell>
          <cell r="H128">
            <v>50000</v>
          </cell>
          <cell r="I128" t="str">
            <v>Trophée Burgiard</v>
          </cell>
        </row>
        <row r="129">
          <cell r="F129">
            <v>50000</v>
          </cell>
          <cell r="G129">
            <v>0</v>
          </cell>
          <cell r="H129">
            <v>50000</v>
          </cell>
          <cell r="I129">
            <v>0</v>
          </cell>
        </row>
        <row r="130">
          <cell r="F130">
            <v>50000</v>
          </cell>
          <cell r="G130">
            <v>0</v>
          </cell>
          <cell r="H130">
            <v>50000</v>
          </cell>
          <cell r="I130" t="str">
            <v>Championnat jeune J11</v>
          </cell>
        </row>
        <row r="131">
          <cell r="F131">
            <v>50000</v>
          </cell>
          <cell r="G131">
            <v>0</v>
          </cell>
          <cell r="H131">
            <v>50000</v>
          </cell>
          <cell r="I131" t="str">
            <v>Championnat jeune J12</v>
          </cell>
        </row>
        <row r="132">
          <cell r="F132">
            <v>50000</v>
          </cell>
          <cell r="G132">
            <v>0</v>
          </cell>
          <cell r="H132">
            <v>50000</v>
          </cell>
          <cell r="I132" t="str">
            <v>Championnat jeune J13</v>
          </cell>
        </row>
        <row r="133">
          <cell r="F133">
            <v>50000</v>
          </cell>
          <cell r="G133">
            <v>0</v>
          </cell>
          <cell r="H133">
            <v>50000</v>
          </cell>
          <cell r="I133" t="str">
            <v>Championnat jeune J14</v>
          </cell>
        </row>
        <row r="134">
          <cell r="F134">
            <v>50000</v>
          </cell>
          <cell r="G134">
            <v>0</v>
          </cell>
          <cell r="H134">
            <v>50000</v>
          </cell>
          <cell r="I134" t="str">
            <v>Championnat jeune</v>
          </cell>
        </row>
        <row r="135">
          <cell r="F135">
            <v>50000</v>
          </cell>
          <cell r="G135">
            <v>41930</v>
          </cell>
          <cell r="H135">
            <v>50000</v>
          </cell>
          <cell r="I135" t="str">
            <v>Championnat jeune J1</v>
          </cell>
          <cell r="J135" t="e">
            <v>#N/A</v>
          </cell>
        </row>
        <row r="136">
          <cell r="F136">
            <v>50000</v>
          </cell>
          <cell r="G136">
            <v>41951</v>
          </cell>
          <cell r="H136">
            <v>50000</v>
          </cell>
          <cell r="I136" t="str">
            <v>Championnat jeune J2</v>
          </cell>
          <cell r="J136" t="str">
            <v xml:space="preserve">Muzillac TT 1 reçoit L. PLOERMEL 1   nul 5  -  5 ,  reçoit e   - </v>
          </cell>
        </row>
        <row r="137">
          <cell r="F137">
            <v>50000</v>
          </cell>
          <cell r="G137">
            <v>41965</v>
          </cell>
          <cell r="H137">
            <v>50000</v>
          </cell>
          <cell r="I137" t="str">
            <v>Championnat jeune J3</v>
          </cell>
          <cell r="J137" t="str">
            <v xml:space="preserve">Muzillac TT 1 va à BO QUESTEMBERT 1   vict. 7 -  3 ,  reçoit e   - </v>
          </cell>
        </row>
        <row r="138">
          <cell r="F138">
            <v>50000</v>
          </cell>
          <cell r="G138">
            <v>41979</v>
          </cell>
          <cell r="H138">
            <v>50000</v>
          </cell>
          <cell r="I138" t="str">
            <v>Championnat jeune J4</v>
          </cell>
          <cell r="J138" t="str">
            <v xml:space="preserve">Muzillac TT 1 reçoit ASPTT VANNES 1/ CTT MENIMUR   vict. 7 -  3 ,  reçoit e   - </v>
          </cell>
        </row>
        <row r="139">
          <cell r="F139">
            <v>50000</v>
          </cell>
          <cell r="G139">
            <v>41986</v>
          </cell>
          <cell r="H139">
            <v>50000</v>
          </cell>
          <cell r="I139" t="str">
            <v>Championnat jeune J5</v>
          </cell>
          <cell r="J139" t="str">
            <v xml:space="preserve">Muzillac TT 1 reçoit ARGOET STT 1   -   ,  reçoit e   - </v>
          </cell>
        </row>
        <row r="140">
          <cell r="F140">
            <v>50000</v>
          </cell>
          <cell r="G140">
            <v>42021</v>
          </cell>
          <cell r="H140">
            <v>50000</v>
          </cell>
          <cell r="I140" t="str">
            <v>Championnat jeune J6</v>
          </cell>
          <cell r="J140" t="str">
            <v>Muzillac TT 1 reçoit FL LANESTER 2   -   ,  reçoit e  e - e</v>
          </cell>
        </row>
        <row r="141">
          <cell r="F141">
            <v>50000</v>
          </cell>
          <cell r="G141">
            <v>42035</v>
          </cell>
          <cell r="H141">
            <v>50000</v>
          </cell>
          <cell r="I141" t="str">
            <v>Championnat jeune J7</v>
          </cell>
          <cell r="J141" t="str">
            <v>Muzillac TT 1 reçoit BAUD TT 1  e -  e ,  reçoit e  e - e</v>
          </cell>
        </row>
        <row r="142">
          <cell r="F142">
            <v>50000</v>
          </cell>
          <cell r="G142">
            <v>42063</v>
          </cell>
          <cell r="H142">
            <v>50000</v>
          </cell>
          <cell r="I142" t="str">
            <v>Championnat jeune J8</v>
          </cell>
          <cell r="J142" t="str">
            <v xml:space="preserve"> MTT cadet  Nul 7 - 7 contre FC ST-RAOUL 2</v>
          </cell>
        </row>
        <row r="143">
          <cell r="F143">
            <v>50000</v>
          </cell>
          <cell r="G143">
            <v>42077</v>
          </cell>
          <cell r="H143">
            <v>50000</v>
          </cell>
          <cell r="I143" t="str">
            <v>Championnat jeune J9</v>
          </cell>
          <cell r="J143" t="str">
            <v xml:space="preserve"> MTT cadet  Vict 11 - 3 contre JA PLEUCADEUC 3</v>
          </cell>
        </row>
        <row r="144">
          <cell r="F144">
            <v>50000</v>
          </cell>
          <cell r="G144">
            <v>42091</v>
          </cell>
          <cell r="H144">
            <v>50000</v>
          </cell>
          <cell r="I144" t="str">
            <v>Championnat jeune J10</v>
          </cell>
          <cell r="J144" t="str">
            <v xml:space="preserve"> MTT cadet  Vict 8 - 6 contre ARGOET STT 2 , dernier match de la saison !</v>
          </cell>
        </row>
        <row r="145">
          <cell r="F145">
            <v>50000</v>
          </cell>
          <cell r="G145">
            <v>0</v>
          </cell>
          <cell r="H145">
            <v>50000</v>
          </cell>
          <cell r="I145" t="str">
            <v>Circuit jeune (promo)</v>
          </cell>
        </row>
        <row r="146">
          <cell r="F146">
            <v>50000</v>
          </cell>
          <cell r="G146">
            <v>41930</v>
          </cell>
          <cell r="H146">
            <v>50000</v>
          </cell>
          <cell r="I146" t="str">
            <v xml:space="preserve">Circuit Jeune J1 </v>
          </cell>
          <cell r="J146" t="str">
            <v>Clément, Gwendal et Romain y ont représenté Muzillac TT</v>
          </cell>
        </row>
        <row r="147">
          <cell r="F147">
            <v>50000</v>
          </cell>
          <cell r="G147">
            <v>41979</v>
          </cell>
          <cell r="H147">
            <v>50000</v>
          </cell>
          <cell r="I147" t="str">
            <v>Circuit Jeune J2</v>
          </cell>
          <cell r="J147" t="str">
            <v xml:space="preserve"> y ont représenté Muzillac TT</v>
          </cell>
        </row>
        <row r="148">
          <cell r="F148">
            <v>50000</v>
          </cell>
          <cell r="G148">
            <v>42035</v>
          </cell>
          <cell r="H148">
            <v>50000</v>
          </cell>
          <cell r="I148" t="str">
            <v>Circuit Jeune J3</v>
          </cell>
          <cell r="J148" t="str">
            <v xml:space="preserve"> y ont représenté Muzillac TT</v>
          </cell>
        </row>
        <row r="149">
          <cell r="F149">
            <v>50000</v>
          </cell>
          <cell r="G149">
            <v>42091</v>
          </cell>
          <cell r="H149">
            <v>50000</v>
          </cell>
          <cell r="I149" t="str">
            <v>Circuit Jeune J4</v>
          </cell>
          <cell r="J149" t="str">
            <v xml:space="preserve"> y ont représenté Muzillac TT</v>
          </cell>
        </row>
        <row r="150">
          <cell r="F150">
            <v>50000</v>
          </cell>
          <cell r="G150">
            <v>42154</v>
          </cell>
          <cell r="H150">
            <v>50000</v>
          </cell>
          <cell r="I150" t="str">
            <v>Circuit Jeune J5</v>
          </cell>
          <cell r="J150" t="str">
            <v xml:space="preserve"> y ont représenté Muzillac TT</v>
          </cell>
        </row>
        <row r="151">
          <cell r="F151">
            <v>50000</v>
          </cell>
          <cell r="G151">
            <v>0</v>
          </cell>
          <cell r="H151">
            <v>50000</v>
          </cell>
          <cell r="I151" t="str">
            <v>Circuit Jeune J6</v>
          </cell>
          <cell r="J151" t="str">
            <v xml:space="preserve"> y ont représenté Muzillac TT</v>
          </cell>
        </row>
        <row r="152">
          <cell r="F152">
            <v>50000</v>
          </cell>
          <cell r="G152">
            <v>42014</v>
          </cell>
          <cell r="H152">
            <v>50000</v>
          </cell>
          <cell r="I152" t="str">
            <v>Interclubs</v>
          </cell>
          <cell r="J152" t="str">
            <v xml:space="preserve"> équipes engagée(s) cette année.</v>
          </cell>
        </row>
        <row r="153">
          <cell r="F153">
            <v>50000</v>
          </cell>
          <cell r="G153">
            <v>42133</v>
          </cell>
          <cell r="H153">
            <v>50000</v>
          </cell>
          <cell r="I153" t="str">
            <v>Titres Jeunes</v>
          </cell>
        </row>
        <row r="154">
          <cell r="F154">
            <v>50000</v>
          </cell>
          <cell r="G154">
            <v>0</v>
          </cell>
          <cell r="H154">
            <v>50000</v>
          </cell>
          <cell r="I154">
            <v>0</v>
          </cell>
        </row>
        <row r="155">
          <cell r="F155">
            <v>42353.000000850814</v>
          </cell>
          <cell r="G155">
            <v>42353</v>
          </cell>
          <cell r="H155">
            <v>42353.000000724103</v>
          </cell>
          <cell r="I155" t="str">
            <v>TOP 56</v>
          </cell>
          <cell r="J155" t="str">
            <v xml:space="preserve"> - poules -  - 1/16 -  - 1/8 -  - 1/16 -  - 1/8 -  - poules </v>
          </cell>
        </row>
        <row r="156">
          <cell r="F156">
            <v>50000</v>
          </cell>
          <cell r="G156">
            <v>41959</v>
          </cell>
          <cell r="H156">
            <v>50000</v>
          </cell>
          <cell r="I156" t="str">
            <v>Vétérans 56</v>
          </cell>
          <cell r="J156" t="str">
            <v xml:space="preserve">Colombel Guy - 4ème - Touche Rémy - 9ème - Baudais Luc - 9ème - Guillotin Marie-Paule - 2ème -  -  -  -  -  -  -  -  -  -  - </v>
          </cell>
        </row>
        <row r="157">
          <cell r="F157">
            <v>50000</v>
          </cell>
          <cell r="G157">
            <v>42064</v>
          </cell>
          <cell r="H157">
            <v>50000</v>
          </cell>
          <cell r="I157" t="str">
            <v>Final/clast/56</v>
          </cell>
          <cell r="J157" t="str">
            <v xml:space="preserve">Morin Léa - 2ème - Morin Quentin - 7ème - Vilain Benjamin - 1/8 - Morin Emmanuel - 1/8 - Couture Nicolas - 5ème -  -  -  -  -  -  -  -  - </v>
          </cell>
        </row>
        <row r="158">
          <cell r="F158">
            <v>50000</v>
          </cell>
          <cell r="G158">
            <v>42119</v>
          </cell>
          <cell r="H158">
            <v>50000</v>
          </cell>
          <cell r="I158" t="str">
            <v>Championnat 56</v>
          </cell>
          <cell r="J158" t="str">
            <v xml:space="preserve">Rochefort Reginald - 1/16 - Vilain Benjamin - poules - Touche Rémy - 1/16 - Baudais Luc - 1/16 - Morin Emmanuel - 3ème - Couture Christophe - poules - Hilton Franck - 1er - Faulkner Thierry - poules - Roszak Clément - poules y ont participé ! </v>
          </cell>
        </row>
        <row r="159">
          <cell r="F159">
            <v>50000</v>
          </cell>
          <cell r="G159">
            <v>41898</v>
          </cell>
          <cell r="H159">
            <v>50000</v>
          </cell>
          <cell r="I159" t="str">
            <v>comité directeur</v>
          </cell>
          <cell r="J159" t="str">
            <v>à 20h30 au "Clos des Moines"</v>
          </cell>
        </row>
        <row r="160">
          <cell r="F160">
            <v>50000</v>
          </cell>
          <cell r="G160">
            <v>42017</v>
          </cell>
          <cell r="H160">
            <v>50000</v>
          </cell>
          <cell r="I160" t="str">
            <v>comité directeur</v>
          </cell>
          <cell r="J160" t="str">
            <v>à 20h30 au "Clos des Moines"</v>
          </cell>
        </row>
        <row r="161">
          <cell r="F161">
            <v>42184.000000412438</v>
          </cell>
          <cell r="G161">
            <v>42184</v>
          </cell>
          <cell r="H161">
            <v>42184.000000196182</v>
          </cell>
          <cell r="I161" t="str">
            <v>comité directeur</v>
          </cell>
          <cell r="J161" t="str">
            <v>à 20h30 au "Clos des Moines"</v>
          </cell>
        </row>
        <row r="162">
          <cell r="F162">
            <v>42181.000000975626</v>
          </cell>
          <cell r="G162">
            <v>42181</v>
          </cell>
          <cell r="H162">
            <v>42181.000000209788</v>
          </cell>
          <cell r="I162" t="str">
            <v>AG MTT</v>
          </cell>
          <cell r="J162" t="str">
            <v>Venez nombreux pour ce bilan annuel de notre association !</v>
          </cell>
        </row>
        <row r="163">
          <cell r="F163">
            <v>42266.000000443426</v>
          </cell>
          <cell r="G163">
            <v>42266</v>
          </cell>
          <cell r="H163">
            <v>42266.000000219632</v>
          </cell>
          <cell r="I163" t="str">
            <v xml:space="preserve"> Ass.Gén. 56</v>
          </cell>
        </row>
        <row r="164">
          <cell r="F164">
            <v>42269.000000416447</v>
          </cell>
          <cell r="G164">
            <v>42269</v>
          </cell>
          <cell r="H164">
            <v>42269.000000137588</v>
          </cell>
          <cell r="I164" t="str">
            <v>comité directeur</v>
          </cell>
          <cell r="J164" t="str">
            <v>à 20h30 au "Vieux Couvent"</v>
          </cell>
        </row>
        <row r="165">
          <cell r="F165">
            <v>50000</v>
          </cell>
          <cell r="G165">
            <v>0</v>
          </cell>
          <cell r="H165">
            <v>50000</v>
          </cell>
        </row>
        <row r="166">
          <cell r="F166">
            <v>50000</v>
          </cell>
          <cell r="G166">
            <v>41886</v>
          </cell>
          <cell r="H166">
            <v>50000</v>
          </cell>
          <cell r="I166" t="str">
            <v>engagement D4 + :</v>
          </cell>
          <cell r="J166" t="str">
            <v>Les inscriptions sont closes !</v>
          </cell>
        </row>
        <row r="167">
          <cell r="F167">
            <v>50000</v>
          </cell>
          <cell r="G167">
            <v>41894</v>
          </cell>
          <cell r="H167">
            <v>50000</v>
          </cell>
          <cell r="I167" t="str">
            <v>engagement Crit. Fédéral:</v>
          </cell>
          <cell r="J167" t="str">
            <v>Les inscriptions sont closes ! , il y aura 10 joueurs engagés cette saison dont 10 jeunes.</v>
          </cell>
        </row>
        <row r="168">
          <cell r="F168">
            <v>50000</v>
          </cell>
          <cell r="G168">
            <v>41901</v>
          </cell>
          <cell r="H168">
            <v>50000</v>
          </cell>
          <cell r="I168" t="str">
            <v>engagement éq.Vétérans:</v>
          </cell>
          <cell r="J168" t="str">
            <v>Les inscriptions sont closes ! 0 équipe(s) dans cette compétition.</v>
          </cell>
        </row>
        <row r="169">
          <cell r="F169">
            <v>42273.000000922919</v>
          </cell>
          <cell r="G169">
            <v>42273</v>
          </cell>
          <cell r="H169">
            <v>42273.000000242202</v>
          </cell>
          <cell r="I169" t="str">
            <v>engagement éq. Jeunes:</v>
          </cell>
          <cell r="J169" t="str">
            <v>Pensez à vous inscrire auprès des dirigeants si vous êtes intéressés !</v>
          </cell>
        </row>
        <row r="170">
          <cell r="F170">
            <v>50000</v>
          </cell>
          <cell r="G170">
            <v>0</v>
          </cell>
          <cell r="H170">
            <v>50000</v>
          </cell>
          <cell r="I170" t="str">
            <v>engagement éq. Féminine:</v>
          </cell>
          <cell r="J170" t="str">
            <v>Les inscriptions sont closes ! 1 équipe(s) : Pas assez de volontaires cette année encore !</v>
          </cell>
        </row>
        <row r="171">
          <cell r="F171">
            <v>42286.000000032916</v>
          </cell>
          <cell r="G171">
            <v>42286</v>
          </cell>
          <cell r="H171">
            <v>42286.000000564069</v>
          </cell>
          <cell r="I171" t="str">
            <v>engagement Circuit jeune:</v>
          </cell>
          <cell r="J171" t="str">
            <v>Pensez à vous inscrire auprès des dirigeants si vous êtes intéressés !</v>
          </cell>
        </row>
        <row r="172">
          <cell r="F172">
            <v>50000</v>
          </cell>
          <cell r="G172">
            <v>41929</v>
          </cell>
          <cell r="H172">
            <v>50000</v>
          </cell>
          <cell r="I172" t="str">
            <v>engagement ind.vétérans:</v>
          </cell>
          <cell r="J172" t="str">
            <v xml:space="preserve"> Inscriptions terminées ! Il y a 4 inscrit(s): Colombel Guy - 4ème - Touche Rémy - 9ème - Baudais Luc - 9ème - Guillotin Marie-Paule - 2ème -  -  -  -  -  -  -  -  -  -  - </v>
          </cell>
        </row>
        <row r="173">
          <cell r="F173">
            <v>50000</v>
          </cell>
          <cell r="G173">
            <v>41984</v>
          </cell>
          <cell r="H173">
            <v>50000</v>
          </cell>
          <cell r="I173" t="str">
            <v>engagement open jeunes :</v>
          </cell>
          <cell r="J173" t="str">
            <v>Les inscriptions sont closes !  équipe(s) en A et  en B</v>
          </cell>
        </row>
        <row r="174">
          <cell r="F174">
            <v>50000</v>
          </cell>
          <cell r="G174">
            <v>41985</v>
          </cell>
          <cell r="H174">
            <v>50000</v>
          </cell>
          <cell r="I174" t="str">
            <v>engagement interclubs :</v>
          </cell>
          <cell r="J174" t="str">
            <v>Les inscriptions sont closes !   équipe(s) engagée(s) cette année.</v>
          </cell>
        </row>
        <row r="175">
          <cell r="F175">
            <v>50000</v>
          </cell>
          <cell r="G175">
            <v>41949</v>
          </cell>
          <cell r="H175">
            <v>50000</v>
          </cell>
          <cell r="I175" t="str">
            <v>engagement TOP 56 :</v>
          </cell>
          <cell r="J175" t="str">
            <v>Les inscriptions sont closes !</v>
          </cell>
        </row>
        <row r="176">
          <cell r="F176">
            <v>50000</v>
          </cell>
          <cell r="G176">
            <v>0</v>
          </cell>
          <cell r="H176">
            <v>50000</v>
          </cell>
          <cell r="I176" t="str">
            <v>engagement éq. Jeunes + :</v>
          </cell>
          <cell r="J176" t="str">
            <v>Les inscriptions sont closes !</v>
          </cell>
        </row>
        <row r="177">
          <cell r="F177">
            <v>50000</v>
          </cell>
          <cell r="G177">
            <v>0</v>
          </cell>
          <cell r="H177">
            <v>50000</v>
          </cell>
          <cell r="I177" t="str">
            <v>engagement éq. Féminine +:</v>
          </cell>
          <cell r="J177" t="str">
            <v>Les inscriptions sont closes !</v>
          </cell>
        </row>
        <row r="178">
          <cell r="F178">
            <v>50000</v>
          </cell>
          <cell r="G178">
            <v>42034</v>
          </cell>
          <cell r="H178">
            <v>50000</v>
          </cell>
          <cell r="I178" t="str">
            <v>engagement Final/clast/56 :</v>
          </cell>
          <cell r="J178" t="str">
            <v xml:space="preserve">Les inscriptions sont closes ! 5 inscrit(s) cette année: Morin Léa - 2ème - Morin Quentin - 7ème - Vilain Benjamin - 1/8 - Morin Emmanuel - 1/8 - Couture Nicolas - 5ème -  -  -  -  -  -  -  -  - </v>
          </cell>
        </row>
        <row r="179">
          <cell r="F179">
            <v>42259.000000555512</v>
          </cell>
          <cell r="G179">
            <v>42259</v>
          </cell>
          <cell r="H179">
            <v>42259.000000938366</v>
          </cell>
          <cell r="I179" t="str">
            <v>Tournoi de rentrée</v>
          </cell>
          <cell r="J179" t="str">
            <v>Parlez en autour de vous</v>
          </cell>
        </row>
        <row r="180">
          <cell r="F180">
            <v>50000</v>
          </cell>
          <cell r="G180">
            <v>41539</v>
          </cell>
          <cell r="H180">
            <v>50000</v>
          </cell>
          <cell r="I180" t="str">
            <v>Champ. Fém.J1</v>
          </cell>
        </row>
        <row r="181">
          <cell r="F181">
            <v>50000</v>
          </cell>
          <cell r="G181">
            <v>41553</v>
          </cell>
          <cell r="H181">
            <v>50000</v>
          </cell>
          <cell r="I181" t="str">
            <v>Champ. Fém.J2</v>
          </cell>
        </row>
        <row r="182">
          <cell r="F182">
            <v>50000</v>
          </cell>
          <cell r="G182">
            <v>41567</v>
          </cell>
          <cell r="H182">
            <v>50000</v>
          </cell>
          <cell r="I182" t="str">
            <v>Champ. Fém.J3</v>
          </cell>
        </row>
        <row r="183">
          <cell r="F183">
            <v>50000</v>
          </cell>
          <cell r="G183">
            <v>41588</v>
          </cell>
          <cell r="H183">
            <v>50000</v>
          </cell>
          <cell r="I183" t="str">
            <v>Champ. Fém.J4</v>
          </cell>
        </row>
        <row r="184">
          <cell r="F184">
            <v>50000</v>
          </cell>
          <cell r="G184">
            <v>41602</v>
          </cell>
          <cell r="H184">
            <v>50000</v>
          </cell>
          <cell r="I184" t="str">
            <v>Champ. Fém.J5</v>
          </cell>
        </row>
        <row r="185">
          <cell r="F185">
            <v>50000</v>
          </cell>
          <cell r="G185">
            <v>41609</v>
          </cell>
          <cell r="H185">
            <v>50000</v>
          </cell>
          <cell r="I185" t="str">
            <v>Champ. Fém.J6</v>
          </cell>
        </row>
        <row r="186">
          <cell r="F186">
            <v>50000</v>
          </cell>
          <cell r="G186">
            <v>41623</v>
          </cell>
          <cell r="H186">
            <v>50000</v>
          </cell>
          <cell r="I186" t="str">
            <v>Champ. Fém.J7</v>
          </cell>
        </row>
        <row r="187">
          <cell r="F187">
            <v>50000</v>
          </cell>
          <cell r="G187">
            <v>42083</v>
          </cell>
          <cell r="H187">
            <v>50000</v>
          </cell>
          <cell r="I187" t="str">
            <v>engagement Champt 56 :</v>
          </cell>
        </row>
        <row r="190">
          <cell r="F190">
            <v>42020</v>
          </cell>
        </row>
        <row r="191">
          <cell r="F191" t="str">
            <v>CPB RENNES RAPATEL 2</v>
          </cell>
          <cell r="G191" t="str">
            <v/>
          </cell>
          <cell r="H191" t="str">
            <v/>
          </cell>
          <cell r="I191" t="str">
            <v/>
          </cell>
          <cell r="J191" t="str">
            <v/>
          </cell>
        </row>
        <row r="192">
          <cell r="F192" t="str">
            <v>US ST-ABRAHAM 1</v>
          </cell>
          <cell r="G192" t="str">
            <v>Clément R.</v>
          </cell>
          <cell r="H192" t="str">
            <v>US ST-ABRAHAM 1</v>
          </cell>
          <cell r="I192" t="str">
            <v/>
          </cell>
          <cell r="J192" t="str">
            <v/>
          </cell>
        </row>
        <row r="193">
          <cell r="F193" t="str">
            <v>ARGOET STT 1</v>
          </cell>
          <cell r="G193" t="str">
            <v>Emmanuel M.</v>
          </cell>
          <cell r="H193" t="str">
            <v>ASPTT VANNES 6</v>
          </cell>
          <cell r="I193" t="str">
            <v>ARGOET STT 1</v>
          </cell>
          <cell r="J193" t="str">
            <v/>
          </cell>
        </row>
        <row r="194">
          <cell r="F194" t="str">
            <v>L. PLOERMEL 4</v>
          </cell>
          <cell r="G194" t="str">
            <v/>
          </cell>
          <cell r="H194" t="str">
            <v/>
          </cell>
          <cell r="I194" t="str">
            <v/>
          </cell>
          <cell r="J194" t="str">
            <v/>
          </cell>
        </row>
        <row r="195">
          <cell r="F195" t="str">
            <v>CTT MENIMUR 5</v>
          </cell>
          <cell r="G195" t="str">
            <v/>
          </cell>
          <cell r="H195" t="str">
            <v/>
          </cell>
          <cell r="I195" t="str">
            <v/>
          </cell>
          <cell r="J195" t="str">
            <v/>
          </cell>
        </row>
        <row r="196">
          <cell r="F196" t="str">
            <v>ES ST-AVE 1</v>
          </cell>
          <cell r="G196" t="str">
            <v>Emile B.</v>
          </cell>
          <cell r="H196" t="str">
            <v>ES ST-AVE 1</v>
          </cell>
          <cell r="I196" t="str">
            <v/>
          </cell>
          <cell r="J196" t="str">
            <v/>
          </cell>
        </row>
        <row r="197">
          <cell r="F197" t="str">
            <v>AJK VANNES 5</v>
          </cell>
          <cell r="G197" t="str">
            <v>José Z.</v>
          </cell>
          <cell r="H197" t="str">
            <v>TT ERDEVEN-BELZ 1</v>
          </cell>
          <cell r="I197" t="str">
            <v>AJK VANNES 5</v>
          </cell>
          <cell r="J197" t="str">
            <v/>
          </cell>
        </row>
        <row r="198">
          <cell r="F198" t="str">
            <v>GOLFETT PLOEREN 4</v>
          </cell>
        </row>
        <row r="199">
          <cell r="F199">
            <v>42034</v>
          </cell>
        </row>
        <row r="200">
          <cell r="F200" t="str">
            <v>TT LA BAIE YFFINIAC 1</v>
          </cell>
          <cell r="G200" t="str">
            <v>Matthieu F.</v>
          </cell>
          <cell r="H200" t="str">
            <v>RP FOUESNANT 5</v>
          </cell>
          <cell r="I200" t="str">
            <v>LE FOLGOET/LESNEVEN 1</v>
          </cell>
          <cell r="J200" t="str">
            <v>TT LA BAIE YFFINIAC 1</v>
          </cell>
        </row>
        <row r="201">
          <cell r="F201" t="str">
            <v>SENE TT 2</v>
          </cell>
          <cell r="G201" t="str">
            <v/>
          </cell>
          <cell r="H201" t="str">
            <v/>
          </cell>
          <cell r="I201" t="str">
            <v/>
          </cell>
          <cell r="J201" t="str">
            <v/>
          </cell>
        </row>
        <row r="202">
          <cell r="I202" t="str">
            <v/>
          </cell>
          <cell r="J202" t="str">
            <v/>
          </cell>
        </row>
        <row r="203">
          <cell r="I203" t="str">
            <v>RAQ GUEGON 1</v>
          </cell>
          <cell r="J203" t="str">
            <v/>
          </cell>
        </row>
        <row r="204">
          <cell r="I204" t="str">
            <v>PLUNERET/MERIAD 3</v>
          </cell>
          <cell r="J204" t="str">
            <v>ES ST-AVE 2</v>
          </cell>
        </row>
      </sheetData>
      <sheetData sheetId="12"/>
      <sheetData sheetId="13"/>
      <sheetData sheetId="14">
        <row r="1">
          <cell r="D1" t="str">
            <v>Muzillac TT</v>
          </cell>
          <cell r="N1" t="str">
            <v xml:space="preserve"> Championnat :  </v>
          </cell>
          <cell r="R1" t="str">
            <v>2014 / 2015</v>
          </cell>
        </row>
        <row r="2">
          <cell r="B2" t="str">
            <v>MTT 1:</v>
          </cell>
          <cell r="D2" t="str">
            <v>R3</v>
          </cell>
          <cell r="E2" t="str">
            <v>C</v>
          </cell>
          <cell r="H2" t="str">
            <v>MTT 2:</v>
          </cell>
          <cell r="J2" t="str">
            <v>D2</v>
          </cell>
          <cell r="K2" t="str">
            <v>C</v>
          </cell>
          <cell r="N2" t="str">
            <v>MTT 3:</v>
          </cell>
          <cell r="P2" t="str">
            <v>D2</v>
          </cell>
          <cell r="Q2" t="str">
            <v>E</v>
          </cell>
          <cell r="T2" t="str">
            <v>MTT 4:</v>
          </cell>
          <cell r="V2" t="str">
            <v>D2</v>
          </cell>
          <cell r="W2" t="str">
            <v>D</v>
          </cell>
          <cell r="Z2" t="str">
            <v>MTT 5:</v>
          </cell>
          <cell r="AB2" t="str">
            <v>D3</v>
          </cell>
          <cell r="AC2" t="str">
            <v>E</v>
          </cell>
          <cell r="AF2" t="str">
            <v>MTT 6:</v>
          </cell>
          <cell r="AH2" t="str">
            <v>D4</v>
          </cell>
          <cell r="AI2" t="str">
            <v>G</v>
          </cell>
        </row>
        <row r="3">
          <cell r="B3" t="str">
            <v>Journée n° 1</v>
          </cell>
          <cell r="N3" t="str">
            <v xml:space="preserve">Journée n° 1 </v>
          </cell>
          <cell r="Z3" t="str">
            <v>Journée n° 1</v>
          </cell>
          <cell r="AB3">
            <v>41908</v>
          </cell>
        </row>
        <row r="4">
          <cell r="B4">
            <v>41908</v>
          </cell>
          <cell r="E4">
            <v>13</v>
          </cell>
          <cell r="F4" t="str">
            <v>Vict 13 - 1</v>
          </cell>
          <cell r="K4">
            <v>9</v>
          </cell>
          <cell r="L4" t="str">
            <v>Vict 9 - 5</v>
          </cell>
          <cell r="Q4">
            <v>14</v>
          </cell>
          <cell r="R4" t="str">
            <v>Vict 14 - 0</v>
          </cell>
          <cell r="W4">
            <v>5</v>
          </cell>
          <cell r="X4" t="str">
            <v>Déf 9 - 5</v>
          </cell>
          <cell r="AB4" t="str">
            <v/>
          </cell>
          <cell r="AC4">
            <v>8</v>
          </cell>
          <cell r="AD4" t="str">
            <v>Vict 8 - 6</v>
          </cell>
          <cell r="AH4" t="str">
            <v/>
          </cell>
          <cell r="AI4">
            <v>8</v>
          </cell>
          <cell r="AJ4" t="str">
            <v>Vict 8 - 6</v>
          </cell>
        </row>
        <row r="5">
          <cell r="B5" t="str">
            <v>MUZILLAC TT 1</v>
          </cell>
          <cell r="C5" t="str">
            <v>-</v>
          </cell>
          <cell r="D5" t="str">
            <v>TT PLEMET/PLUMIEUX1</v>
          </cell>
          <cell r="E5">
            <v>13</v>
          </cell>
          <cell r="F5">
            <v>1</v>
          </cell>
          <cell r="H5" t="str">
            <v>MUZILLAC TT 2</v>
          </cell>
          <cell r="I5" t="str">
            <v>-</v>
          </cell>
          <cell r="J5" t="str">
            <v>MUZILLAC TT 4</v>
          </cell>
          <cell r="K5">
            <v>9</v>
          </cell>
          <cell r="L5">
            <v>5</v>
          </cell>
          <cell r="N5" t="str">
            <v>AO ST-NOLFF 1</v>
          </cell>
          <cell r="O5" t="str">
            <v>-</v>
          </cell>
          <cell r="P5" t="str">
            <v>US ST-ABRAHAM 2</v>
          </cell>
          <cell r="Q5">
            <v>7</v>
          </cell>
          <cell r="R5">
            <v>7</v>
          </cell>
          <cell r="T5" t="str">
            <v>MUZILLAC TT 2</v>
          </cell>
          <cell r="U5" t="str">
            <v>-</v>
          </cell>
          <cell r="V5" t="str">
            <v>MUZILLAC TT 4</v>
          </cell>
          <cell r="W5">
            <v>9</v>
          </cell>
          <cell r="X5">
            <v>5</v>
          </cell>
          <cell r="Z5" t="str">
            <v>AO ST-NOLFF 2</v>
          </cell>
          <cell r="AA5" t="str">
            <v>-</v>
          </cell>
          <cell r="AB5" t="str">
            <v>BAUD TT 1</v>
          </cell>
          <cell r="AC5">
            <v>2</v>
          </cell>
          <cell r="AD5">
            <v>12</v>
          </cell>
          <cell r="AF5" t="str">
            <v>AO ST-NOLFF 3</v>
          </cell>
          <cell r="AG5" t="str">
            <v>-</v>
          </cell>
          <cell r="AH5" t="str">
            <v>ARGOET STT 4</v>
          </cell>
          <cell r="AI5">
            <v>6</v>
          </cell>
          <cell r="AJ5">
            <v>8</v>
          </cell>
        </row>
        <row r="6">
          <cell r="B6" t="str">
            <v>7 ILES PERROS 3</v>
          </cell>
          <cell r="C6" t="str">
            <v>-</v>
          </cell>
          <cell r="D6" t="str">
            <v>RENNES TA 2</v>
          </cell>
          <cell r="E6">
            <v>9</v>
          </cell>
          <cell r="F6">
            <v>5</v>
          </cell>
          <cell r="H6" t="str">
            <v>SENE TT 2</v>
          </cell>
          <cell r="I6" t="str">
            <v>-</v>
          </cell>
          <cell r="J6" t="str">
            <v>ES PLESCOP TT 5</v>
          </cell>
          <cell r="K6">
            <v>11</v>
          </cell>
          <cell r="L6">
            <v>3</v>
          </cell>
          <cell r="N6" t="str">
            <v>L. PLOERMEL 4</v>
          </cell>
          <cell r="O6" t="str">
            <v>-</v>
          </cell>
          <cell r="P6" t="str">
            <v>ARGOET STT 1</v>
          </cell>
          <cell r="Q6">
            <v>6</v>
          </cell>
          <cell r="R6">
            <v>8</v>
          </cell>
          <cell r="T6" t="str">
            <v>SENE TT 2</v>
          </cell>
          <cell r="U6" t="str">
            <v>-</v>
          </cell>
          <cell r="V6" t="str">
            <v>ES PLESCOP TT 5</v>
          </cell>
          <cell r="W6">
            <v>11</v>
          </cell>
          <cell r="X6">
            <v>3</v>
          </cell>
          <cell r="Z6" t="str">
            <v>CTT MENIMUR 5</v>
          </cell>
          <cell r="AA6" t="str">
            <v>-</v>
          </cell>
          <cell r="AB6" t="str">
            <v>MUZILLAC TT 5</v>
          </cell>
          <cell r="AC6">
            <v>6</v>
          </cell>
          <cell r="AD6">
            <v>8</v>
          </cell>
          <cell r="AF6" t="str">
            <v>RM PLUMELEC 2</v>
          </cell>
          <cell r="AG6" t="str">
            <v>-</v>
          </cell>
          <cell r="AH6" t="str">
            <v>Exempt</v>
          </cell>
          <cell r="AI6" t="str">
            <v>e</v>
          </cell>
          <cell r="AJ6" t="str">
            <v>e</v>
          </cell>
        </row>
        <row r="7">
          <cell r="B7" t="str">
            <v>GV HENNEBONT 7</v>
          </cell>
          <cell r="C7" t="str">
            <v>-</v>
          </cell>
          <cell r="D7" t="str">
            <v>TT PORDIC 1</v>
          </cell>
          <cell r="E7">
            <v>11</v>
          </cell>
          <cell r="F7">
            <v>3</v>
          </cell>
          <cell r="H7" t="str">
            <v>CTT MENIMUR 3</v>
          </cell>
          <cell r="I7" t="str">
            <v>-</v>
          </cell>
          <cell r="J7" t="str">
            <v>BO QUESTEMBERT 1</v>
          </cell>
          <cell r="K7">
            <v>7</v>
          </cell>
          <cell r="L7">
            <v>7</v>
          </cell>
          <cell r="N7" t="str">
            <v>MUZILLAC TT 3</v>
          </cell>
          <cell r="O7" t="str">
            <v>-</v>
          </cell>
          <cell r="P7" t="str">
            <v>CTT MENIMUR 4</v>
          </cell>
          <cell r="Q7">
            <v>14</v>
          </cell>
          <cell r="R7">
            <v>0</v>
          </cell>
          <cell r="T7" t="str">
            <v>CTT MENIMUR 3</v>
          </cell>
          <cell r="U7" t="str">
            <v>-</v>
          </cell>
          <cell r="V7" t="str">
            <v>BO QUESTEMBERT 1</v>
          </cell>
          <cell r="W7">
            <v>7</v>
          </cell>
          <cell r="X7">
            <v>7</v>
          </cell>
          <cell r="Z7" t="str">
            <v>ASPTT VANNES 5</v>
          </cell>
          <cell r="AA7" t="str">
            <v>-</v>
          </cell>
          <cell r="AB7" t="str">
            <v>Exempt</v>
          </cell>
          <cell r="AC7" t="str">
            <v>e</v>
          </cell>
          <cell r="AD7" t="str">
            <v>e</v>
          </cell>
          <cell r="AF7" t="str">
            <v>BO QUESTEMBERT 4</v>
          </cell>
          <cell r="AG7" t="str">
            <v>-</v>
          </cell>
          <cell r="AH7" t="str">
            <v>L. PLOERMEL 7</v>
          </cell>
          <cell r="AI7">
            <v>0</v>
          </cell>
          <cell r="AJ7">
            <v>14</v>
          </cell>
        </row>
        <row r="8">
          <cell r="B8" t="str">
            <v>AJK VANNES 2</v>
          </cell>
          <cell r="C8" t="str">
            <v>-</v>
          </cell>
          <cell r="D8" t="str">
            <v>AURORE VITRE TT 2</v>
          </cell>
          <cell r="E8">
            <v>1</v>
          </cell>
          <cell r="F8">
            <v>13</v>
          </cell>
          <cell r="H8" t="str">
            <v>TT RHUYS 1</v>
          </cell>
          <cell r="I8" t="str">
            <v>-</v>
          </cell>
          <cell r="J8" t="str">
            <v>ASPTT VANNES 4</v>
          </cell>
          <cell r="K8">
            <v>7</v>
          </cell>
          <cell r="L8">
            <v>7</v>
          </cell>
          <cell r="N8" t="str">
            <v>TT PAYS LOCMINE 1</v>
          </cell>
          <cell r="O8" t="str">
            <v>-</v>
          </cell>
          <cell r="P8" t="str">
            <v>BO QUESTEMBERT 2</v>
          </cell>
          <cell r="Q8">
            <v>12</v>
          </cell>
          <cell r="R8">
            <v>2</v>
          </cell>
          <cell r="T8" t="str">
            <v>TT RHUYS 1</v>
          </cell>
          <cell r="U8" t="str">
            <v>-</v>
          </cell>
          <cell r="V8" t="str">
            <v>ASPTT VANNES 4</v>
          </cell>
          <cell r="W8">
            <v>7</v>
          </cell>
          <cell r="X8">
            <v>7</v>
          </cell>
          <cell r="Z8" t="str">
            <v>TT RHUYS 2</v>
          </cell>
          <cell r="AA8" t="str">
            <v>-</v>
          </cell>
          <cell r="AB8" t="str">
            <v>PLUNERET/MERIAD 3</v>
          </cell>
          <cell r="AC8">
            <v>5</v>
          </cell>
          <cell r="AD8">
            <v>9</v>
          </cell>
          <cell r="AF8" t="str">
            <v>ST-JEAN BREVELA 2</v>
          </cell>
          <cell r="AG8" t="str">
            <v>-</v>
          </cell>
          <cell r="AH8" t="str">
            <v>MUZILLAC TT 6</v>
          </cell>
          <cell r="AI8">
            <v>6</v>
          </cell>
          <cell r="AJ8">
            <v>8</v>
          </cell>
        </row>
        <row r="9">
          <cell r="B9" t="str">
            <v>Journée n° 2</v>
          </cell>
          <cell r="D9" t="str">
            <v>TT PLEMET/PLUMIEUX1</v>
          </cell>
          <cell r="F9" t="str">
            <v>reçoit</v>
          </cell>
          <cell r="J9" t="str">
            <v>MUZILLAC TT 4</v>
          </cell>
          <cell r="L9" t="str">
            <v>reçoit</v>
          </cell>
          <cell r="N9" t="str">
            <v xml:space="preserve">Journée n° 2 </v>
          </cell>
          <cell r="P9" t="str">
            <v>CTT MENIMUR 4</v>
          </cell>
          <cell r="R9" t="str">
            <v>reçoit</v>
          </cell>
          <cell r="V9" t="str">
            <v>MUZILLAC TT 2</v>
          </cell>
          <cell r="X9" t="str">
            <v>va à</v>
          </cell>
          <cell r="Z9" t="str">
            <v>Journée n° 2</v>
          </cell>
          <cell r="AB9" t="str">
            <v>CTT MENIMUR 5</v>
          </cell>
          <cell r="AC9" t="str">
            <v>CTT MENIMUR 5</v>
          </cell>
          <cell r="AD9" t="str">
            <v>va à</v>
          </cell>
          <cell r="AH9" t="str">
            <v>ST-JEAN BREVELA 2</v>
          </cell>
          <cell r="AJ9" t="str">
            <v>va à</v>
          </cell>
        </row>
        <row r="10">
          <cell r="B10">
            <v>41915</v>
          </cell>
          <cell r="D10" t="str">
            <v/>
          </cell>
          <cell r="E10">
            <v>9</v>
          </cell>
          <cell r="F10" t="str">
            <v>Vict 9 - 5</v>
          </cell>
          <cell r="J10" t="str">
            <v/>
          </cell>
          <cell r="K10">
            <v>7</v>
          </cell>
          <cell r="L10" t="str">
            <v>Nul 7 - 7</v>
          </cell>
          <cell r="P10" t="str">
            <v/>
          </cell>
          <cell r="Q10">
            <v>14</v>
          </cell>
          <cell r="R10" t="str">
            <v>Vict 14 - 0</v>
          </cell>
          <cell r="V10" t="str">
            <v/>
          </cell>
          <cell r="W10">
            <v>8</v>
          </cell>
          <cell r="X10" t="str">
            <v>Vict 8 - 6</v>
          </cell>
          <cell r="AB10" t="str">
            <v/>
          </cell>
          <cell r="AC10">
            <v>9</v>
          </cell>
          <cell r="AD10" t="str">
            <v>Vict 9 - 5</v>
          </cell>
          <cell r="AH10" t="str">
            <v/>
          </cell>
          <cell r="AI10">
            <v>12</v>
          </cell>
          <cell r="AJ10" t="str">
            <v>Vict 12 - 2</v>
          </cell>
        </row>
        <row r="11">
          <cell r="B11" t="str">
            <v>RENNES TA 2</v>
          </cell>
          <cell r="C11" t="str">
            <v>-</v>
          </cell>
          <cell r="D11" t="str">
            <v>MUZILLAC TT 1</v>
          </cell>
          <cell r="E11">
            <v>5</v>
          </cell>
          <cell r="F11">
            <v>9</v>
          </cell>
          <cell r="H11" t="str">
            <v>ES PLESCOP TT 5</v>
          </cell>
          <cell r="I11" t="str">
            <v>-</v>
          </cell>
          <cell r="J11" t="str">
            <v>MUZILLAC TT 2</v>
          </cell>
          <cell r="K11">
            <v>7</v>
          </cell>
          <cell r="L11">
            <v>7</v>
          </cell>
          <cell r="N11" t="str">
            <v>ARGOET STT 1</v>
          </cell>
          <cell r="O11" t="str">
            <v>-</v>
          </cell>
          <cell r="P11" t="str">
            <v>AO ST-NOLFF 1</v>
          </cell>
          <cell r="Q11">
            <v>7</v>
          </cell>
          <cell r="R11">
            <v>7</v>
          </cell>
          <cell r="T11" t="str">
            <v>ES PLESCOP TT 5</v>
          </cell>
          <cell r="U11" t="str">
            <v>-</v>
          </cell>
          <cell r="V11" t="str">
            <v>MUZILLAC TT 2</v>
          </cell>
          <cell r="W11">
            <v>7</v>
          </cell>
          <cell r="X11">
            <v>7</v>
          </cell>
          <cell r="Z11" t="str">
            <v>MUZILLAC TT 5</v>
          </cell>
          <cell r="AA11" t="str">
            <v>-</v>
          </cell>
          <cell r="AB11" t="str">
            <v>AO ST-NOLFF 2</v>
          </cell>
          <cell r="AC11">
            <v>9</v>
          </cell>
          <cell r="AD11">
            <v>5</v>
          </cell>
          <cell r="AF11" t="str">
            <v>Exempt</v>
          </cell>
          <cell r="AG11" t="str">
            <v>-</v>
          </cell>
          <cell r="AH11" t="str">
            <v>AO ST-NOLFF 3</v>
          </cell>
          <cell r="AI11" t="str">
            <v>e</v>
          </cell>
          <cell r="AJ11" t="str">
            <v>e</v>
          </cell>
        </row>
        <row r="12">
          <cell r="B12" t="str">
            <v>TT PORDIC 1</v>
          </cell>
          <cell r="C12" t="str">
            <v>-</v>
          </cell>
          <cell r="D12" t="str">
            <v>7 ILES PERROS 3</v>
          </cell>
          <cell r="E12">
            <v>5</v>
          </cell>
          <cell r="F12">
            <v>9</v>
          </cell>
          <cell r="H12" t="str">
            <v>BO QUESTEMBERT 1</v>
          </cell>
          <cell r="I12" t="str">
            <v>-</v>
          </cell>
          <cell r="J12" t="str">
            <v>SENE TT 2</v>
          </cell>
          <cell r="K12">
            <v>5</v>
          </cell>
          <cell r="L12">
            <v>9</v>
          </cell>
          <cell r="N12" t="str">
            <v>CTT MENIMUR 4</v>
          </cell>
          <cell r="O12" t="str">
            <v>-</v>
          </cell>
          <cell r="P12" t="str">
            <v>L. PLOERMEL 4</v>
          </cell>
          <cell r="Q12">
            <v>8</v>
          </cell>
          <cell r="R12">
            <v>6</v>
          </cell>
          <cell r="T12" t="str">
            <v>BO QUESTEMBERT 1</v>
          </cell>
          <cell r="U12" t="str">
            <v>-</v>
          </cell>
          <cell r="V12" t="str">
            <v>SENE TT 2</v>
          </cell>
          <cell r="W12">
            <v>5</v>
          </cell>
          <cell r="X12">
            <v>9</v>
          </cell>
          <cell r="Z12" t="str">
            <v>Exempt</v>
          </cell>
          <cell r="AA12" t="str">
            <v>-</v>
          </cell>
          <cell r="AB12" t="str">
            <v>CTT MENIMUR 5</v>
          </cell>
          <cell r="AC12" t="str">
            <v>e</v>
          </cell>
          <cell r="AD12" t="str">
            <v>e</v>
          </cell>
          <cell r="AF12" t="str">
            <v>L. PLOERMEL 7</v>
          </cell>
          <cell r="AG12" t="str">
            <v>-</v>
          </cell>
          <cell r="AH12" t="str">
            <v>RM PLUMELEC 2</v>
          </cell>
          <cell r="AI12">
            <v>11</v>
          </cell>
          <cell r="AJ12">
            <v>3</v>
          </cell>
        </row>
        <row r="13">
          <cell r="B13" t="str">
            <v>AURORE VITRE TT 2</v>
          </cell>
          <cell r="C13" t="str">
            <v>-</v>
          </cell>
          <cell r="D13" t="str">
            <v>GV HENNEBONT 7</v>
          </cell>
          <cell r="E13">
            <v>5</v>
          </cell>
          <cell r="F13">
            <v>9</v>
          </cell>
          <cell r="H13" t="str">
            <v>ASPTT VANNES 4</v>
          </cell>
          <cell r="I13" t="str">
            <v>-</v>
          </cell>
          <cell r="J13" t="str">
            <v>CTT MENIMUR 3</v>
          </cell>
          <cell r="K13">
            <v>8</v>
          </cell>
          <cell r="L13">
            <v>6</v>
          </cell>
          <cell r="N13" t="str">
            <v>BO QUESTEMBERT 2</v>
          </cell>
          <cell r="O13" t="str">
            <v>-</v>
          </cell>
          <cell r="P13" t="str">
            <v>MUZILLAC TT 3</v>
          </cell>
          <cell r="Q13">
            <v>0</v>
          </cell>
          <cell r="R13">
            <v>14</v>
          </cell>
          <cell r="T13" t="str">
            <v>ASPTT VANNES 4</v>
          </cell>
          <cell r="U13" t="str">
            <v>-</v>
          </cell>
          <cell r="V13" t="str">
            <v>CTT MENIMUR 3</v>
          </cell>
          <cell r="W13">
            <v>8</v>
          </cell>
          <cell r="X13">
            <v>6</v>
          </cell>
          <cell r="Z13" t="str">
            <v>PLUNERET/MERIAD 3</v>
          </cell>
          <cell r="AA13" t="str">
            <v>-</v>
          </cell>
          <cell r="AB13" t="str">
            <v>ASPTT VANNES 5</v>
          </cell>
          <cell r="AC13">
            <v>4</v>
          </cell>
          <cell r="AD13">
            <v>10</v>
          </cell>
          <cell r="AF13" t="str">
            <v>MUZILLAC TT 6</v>
          </cell>
          <cell r="AG13" t="str">
            <v>-</v>
          </cell>
          <cell r="AH13" t="str">
            <v>BO QUESTEMBERT 4</v>
          </cell>
          <cell r="AI13">
            <v>12</v>
          </cell>
          <cell r="AJ13">
            <v>2</v>
          </cell>
        </row>
        <row r="14">
          <cell r="B14" t="str">
            <v>TT PLEMET/PLUMIEUX1</v>
          </cell>
          <cell r="C14" t="str">
            <v>-</v>
          </cell>
          <cell r="D14" t="str">
            <v>AJK VANNES 2</v>
          </cell>
          <cell r="E14">
            <v>8</v>
          </cell>
          <cell r="F14">
            <v>6</v>
          </cell>
          <cell r="H14" t="str">
            <v>MUZILLAC TT 4</v>
          </cell>
          <cell r="I14" t="str">
            <v>-</v>
          </cell>
          <cell r="J14" t="str">
            <v>TT RHUYS 1</v>
          </cell>
          <cell r="K14">
            <v>8</v>
          </cell>
          <cell r="L14">
            <v>6</v>
          </cell>
          <cell r="N14" t="str">
            <v>US ST-ABRAHAM 2</v>
          </cell>
          <cell r="O14" t="str">
            <v>-</v>
          </cell>
          <cell r="P14" t="str">
            <v>TT PAYS LOCMINE 1</v>
          </cell>
          <cell r="Q14">
            <v>5</v>
          </cell>
          <cell r="R14">
            <v>9</v>
          </cell>
          <cell r="T14" t="str">
            <v>MUZILLAC TT 4</v>
          </cell>
          <cell r="U14" t="str">
            <v>-</v>
          </cell>
          <cell r="V14" t="str">
            <v>TT RHUYS 1</v>
          </cell>
          <cell r="W14">
            <v>8</v>
          </cell>
          <cell r="X14">
            <v>6</v>
          </cell>
          <cell r="Z14" t="str">
            <v>BAUD TT 1</v>
          </cell>
          <cell r="AA14" t="str">
            <v>-</v>
          </cell>
          <cell r="AB14" t="str">
            <v>TT RHUYS 2</v>
          </cell>
          <cell r="AC14">
            <v>12</v>
          </cell>
          <cell r="AD14">
            <v>2</v>
          </cell>
          <cell r="AF14" t="str">
            <v>ARGOET STT 4</v>
          </cell>
          <cell r="AG14" t="str">
            <v>-</v>
          </cell>
          <cell r="AH14" t="str">
            <v>ST-JEAN BREVELA 2</v>
          </cell>
          <cell r="AI14">
            <v>1</v>
          </cell>
          <cell r="AJ14">
            <v>13</v>
          </cell>
        </row>
        <row r="15">
          <cell r="B15" t="str">
            <v>Journée n° 3</v>
          </cell>
          <cell r="D15" t="str">
            <v>RENNES TA 2</v>
          </cell>
          <cell r="F15" t="str">
            <v>va à</v>
          </cell>
          <cell r="J15" t="str">
            <v>ES PLESCOP TT 5</v>
          </cell>
          <cell r="L15" t="str">
            <v>va à</v>
          </cell>
          <cell r="N15" t="str">
            <v>Journée n° 3</v>
          </cell>
          <cell r="P15" t="str">
            <v>BO QUESTEMBERT 2</v>
          </cell>
          <cell r="R15" t="str">
            <v>va à</v>
          </cell>
          <cell r="V15" t="str">
            <v>TT RHUYS 1</v>
          </cell>
          <cell r="X15" t="str">
            <v>reçoit</v>
          </cell>
          <cell r="Z15" t="str">
            <v>Journée n° 3</v>
          </cell>
          <cell r="AB15" t="str">
            <v>AO ST-NOLFF 2</v>
          </cell>
          <cell r="AC15" t="str">
            <v>AO ST-NOLFF 2</v>
          </cell>
          <cell r="AD15" t="str">
            <v>reçoit</v>
          </cell>
          <cell r="AH15" t="str">
            <v>BO QUESTEMBERT 4</v>
          </cell>
          <cell r="AJ15" t="str">
            <v>reçoit</v>
          </cell>
        </row>
        <row r="16">
          <cell r="B16">
            <v>41929</v>
          </cell>
          <cell r="D16" t="str">
            <v/>
          </cell>
          <cell r="E16">
            <v>11</v>
          </cell>
          <cell r="F16" t="str">
            <v>Vict 11 - 3</v>
          </cell>
          <cell r="J16" t="str">
            <v/>
          </cell>
          <cell r="K16">
            <v>4</v>
          </cell>
          <cell r="L16" t="str">
            <v>Déf 10 - 4</v>
          </cell>
          <cell r="P16" t="str">
            <v/>
          </cell>
          <cell r="Q16">
            <v>9</v>
          </cell>
          <cell r="R16" t="str">
            <v>Vict 9 - 5</v>
          </cell>
          <cell r="V16" t="str">
            <v/>
          </cell>
          <cell r="W16">
            <v>3</v>
          </cell>
          <cell r="X16" t="str">
            <v>Déf 11 - 3</v>
          </cell>
          <cell r="AB16" t="str">
            <v/>
          </cell>
          <cell r="AC16">
            <v>2</v>
          </cell>
          <cell r="AD16" t="str">
            <v>Déf 12 - 2</v>
          </cell>
          <cell r="AH16" t="str">
            <v/>
          </cell>
          <cell r="AI16">
            <v>12</v>
          </cell>
          <cell r="AJ16" t="str">
            <v>Vict 12 - 2</v>
          </cell>
        </row>
        <row r="17">
          <cell r="B17" t="str">
            <v>MUZILLAC TT 1</v>
          </cell>
          <cell r="C17" t="str">
            <v>-</v>
          </cell>
          <cell r="D17" t="str">
            <v>TT PORDIC 1</v>
          </cell>
          <cell r="E17">
            <v>11</v>
          </cell>
          <cell r="F17">
            <v>3</v>
          </cell>
          <cell r="H17" t="str">
            <v>MUZILLAC TT 2</v>
          </cell>
          <cell r="I17" t="str">
            <v>-</v>
          </cell>
          <cell r="J17" t="str">
            <v>BO QUESTEMBERT 1</v>
          </cell>
          <cell r="K17">
            <v>4</v>
          </cell>
          <cell r="L17">
            <v>10</v>
          </cell>
          <cell r="N17" t="str">
            <v>AO ST-NOLFF 1</v>
          </cell>
          <cell r="O17" t="str">
            <v>-</v>
          </cell>
          <cell r="P17" t="str">
            <v>CTT MENIMUR 4</v>
          </cell>
          <cell r="Q17">
            <v>5</v>
          </cell>
          <cell r="R17">
            <v>9</v>
          </cell>
          <cell r="T17" t="str">
            <v>MUZILLAC TT 2</v>
          </cell>
          <cell r="U17" t="str">
            <v>-</v>
          </cell>
          <cell r="V17" t="str">
            <v>BO QUESTEMBERT 1</v>
          </cell>
          <cell r="W17">
            <v>4</v>
          </cell>
          <cell r="X17">
            <v>10</v>
          </cell>
          <cell r="Z17" t="str">
            <v>AO ST-NOLFF 2</v>
          </cell>
          <cell r="AA17" t="str">
            <v>-</v>
          </cell>
          <cell r="AB17" t="str">
            <v>Exempt</v>
          </cell>
          <cell r="AC17" t="str">
            <v>e</v>
          </cell>
          <cell r="AD17" t="str">
            <v>e</v>
          </cell>
          <cell r="AF17" t="str">
            <v>AO ST-NOLFF 3</v>
          </cell>
          <cell r="AG17" t="str">
            <v>-</v>
          </cell>
          <cell r="AH17" t="str">
            <v>L. PLOERMEL 7</v>
          </cell>
          <cell r="AI17">
            <v>10</v>
          </cell>
          <cell r="AJ17">
            <v>4</v>
          </cell>
        </row>
        <row r="18">
          <cell r="B18" t="str">
            <v>7 ILES PERROS 3</v>
          </cell>
          <cell r="C18" t="str">
            <v>-</v>
          </cell>
          <cell r="D18" t="str">
            <v>AURORE VITRE TT 2</v>
          </cell>
          <cell r="E18">
            <v>4</v>
          </cell>
          <cell r="F18">
            <v>10</v>
          </cell>
          <cell r="H18" t="str">
            <v>SENE TT 2</v>
          </cell>
          <cell r="I18" t="str">
            <v>-</v>
          </cell>
          <cell r="J18" t="str">
            <v>ASPTT VANNES 4</v>
          </cell>
          <cell r="K18">
            <v>12</v>
          </cell>
          <cell r="L18">
            <v>2</v>
          </cell>
          <cell r="N18" t="str">
            <v>L. PLOERMEL 4</v>
          </cell>
          <cell r="O18" t="str">
            <v>-</v>
          </cell>
          <cell r="P18" t="str">
            <v>BO QUESTEMBERT 2</v>
          </cell>
          <cell r="Q18">
            <v>12</v>
          </cell>
          <cell r="R18">
            <v>2</v>
          </cell>
          <cell r="T18" t="str">
            <v>SENE TT 2</v>
          </cell>
          <cell r="U18" t="str">
            <v>-</v>
          </cell>
          <cell r="V18" t="str">
            <v>ASPTT VANNES 4</v>
          </cell>
          <cell r="W18">
            <v>12</v>
          </cell>
          <cell r="X18">
            <v>2</v>
          </cell>
          <cell r="Z18" t="str">
            <v>CTT MENIMUR 5</v>
          </cell>
          <cell r="AA18" t="str">
            <v>-</v>
          </cell>
          <cell r="AB18" t="str">
            <v>PLUNERET/MERIAD 3</v>
          </cell>
          <cell r="AC18">
            <v>7</v>
          </cell>
          <cell r="AD18">
            <v>7</v>
          </cell>
          <cell r="AF18" t="str">
            <v>RM PLUMELEC 2</v>
          </cell>
          <cell r="AG18" t="str">
            <v>-</v>
          </cell>
          <cell r="AH18" t="str">
            <v>MUZILLAC TT 6</v>
          </cell>
          <cell r="AI18">
            <v>2</v>
          </cell>
          <cell r="AJ18">
            <v>12</v>
          </cell>
        </row>
        <row r="19">
          <cell r="B19" t="str">
            <v>GV HENNEBONT 7</v>
          </cell>
          <cell r="C19" t="str">
            <v>-</v>
          </cell>
          <cell r="D19" t="str">
            <v>AJK VANNES 2</v>
          </cell>
          <cell r="E19">
            <v>8</v>
          </cell>
          <cell r="F19">
            <v>6</v>
          </cell>
          <cell r="H19" t="str">
            <v>CTT MENIMUR 3</v>
          </cell>
          <cell r="I19" t="str">
            <v>-</v>
          </cell>
          <cell r="J19" t="str">
            <v>TT RHUYS 1</v>
          </cell>
          <cell r="K19">
            <v>12</v>
          </cell>
          <cell r="L19">
            <v>2</v>
          </cell>
          <cell r="N19" t="str">
            <v>MUZILLAC TT 3</v>
          </cell>
          <cell r="O19" t="str">
            <v>-</v>
          </cell>
          <cell r="P19" t="str">
            <v>TT PAYS LOCMINE 1</v>
          </cell>
          <cell r="Q19">
            <v>9</v>
          </cell>
          <cell r="R19">
            <v>5</v>
          </cell>
          <cell r="T19" t="str">
            <v>CTT MENIMUR 3</v>
          </cell>
          <cell r="U19" t="str">
            <v>-</v>
          </cell>
          <cell r="V19" t="str">
            <v>TT RHUYS 1</v>
          </cell>
          <cell r="W19">
            <v>12</v>
          </cell>
          <cell r="X19">
            <v>2</v>
          </cell>
          <cell r="Z19" t="str">
            <v>ASPTT VANNES 5</v>
          </cell>
          <cell r="AA19" t="str">
            <v>-</v>
          </cell>
          <cell r="AB19" t="str">
            <v>TT RHUYS 2</v>
          </cell>
          <cell r="AC19">
            <v>12</v>
          </cell>
          <cell r="AD19">
            <v>4</v>
          </cell>
          <cell r="AF19" t="str">
            <v>BO QUESTEMBERT 4</v>
          </cell>
          <cell r="AG19" t="str">
            <v>-</v>
          </cell>
          <cell r="AH19" t="str">
            <v>ST-JEAN BREVELA 2</v>
          </cell>
          <cell r="AI19">
            <v>0</v>
          </cell>
          <cell r="AJ19">
            <v>14</v>
          </cell>
        </row>
        <row r="20">
          <cell r="B20" t="str">
            <v>TT PLEMET/PLUMIEUX1</v>
          </cell>
          <cell r="C20" t="str">
            <v>-</v>
          </cell>
          <cell r="D20" t="str">
            <v>RENNES TA 2</v>
          </cell>
          <cell r="E20">
            <v>6</v>
          </cell>
          <cell r="F20">
            <v>8</v>
          </cell>
          <cell r="H20" t="str">
            <v>MUZILLAC TT 4</v>
          </cell>
          <cell r="I20" t="str">
            <v>-</v>
          </cell>
          <cell r="J20" t="str">
            <v>ES PLESCOP TT 5</v>
          </cell>
          <cell r="K20">
            <v>3</v>
          </cell>
          <cell r="L20">
            <v>11</v>
          </cell>
          <cell r="N20" t="str">
            <v>US ST-ABRAHAM 2</v>
          </cell>
          <cell r="O20" t="str">
            <v>-</v>
          </cell>
          <cell r="P20" t="str">
            <v>ARGOET STT 1</v>
          </cell>
          <cell r="Q20">
            <v>11</v>
          </cell>
          <cell r="R20">
            <v>3</v>
          </cell>
          <cell r="T20" t="str">
            <v>MUZILLAC TT 4</v>
          </cell>
          <cell r="U20" t="str">
            <v>-</v>
          </cell>
          <cell r="V20" t="str">
            <v>ES PLESCOP TT 5</v>
          </cell>
          <cell r="W20">
            <v>3</v>
          </cell>
          <cell r="X20">
            <v>11</v>
          </cell>
          <cell r="Z20" t="str">
            <v>BAUD TT 1</v>
          </cell>
          <cell r="AA20" t="str">
            <v>-</v>
          </cell>
          <cell r="AB20" t="str">
            <v>MUZILLAC TT 5</v>
          </cell>
          <cell r="AC20">
            <v>12</v>
          </cell>
          <cell r="AD20">
            <v>2</v>
          </cell>
          <cell r="AF20" t="str">
            <v>ARGOET STT 4</v>
          </cell>
          <cell r="AG20" t="str">
            <v>-</v>
          </cell>
          <cell r="AH20" t="str">
            <v>Exempt</v>
          </cell>
          <cell r="AI20" t="str">
            <v>e</v>
          </cell>
          <cell r="AJ20" t="str">
            <v>e</v>
          </cell>
        </row>
        <row r="21">
          <cell r="B21" t="str">
            <v>Journée n° 4</v>
          </cell>
          <cell r="D21" t="str">
            <v>TT PORDIC 1</v>
          </cell>
          <cell r="F21" t="str">
            <v>reçoit</v>
          </cell>
          <cell r="J21" t="str">
            <v>BO QUESTEMBERT 1</v>
          </cell>
          <cell r="L21" t="str">
            <v>reçoit</v>
          </cell>
          <cell r="N21" t="str">
            <v xml:space="preserve">Journée n° 4 </v>
          </cell>
          <cell r="P21" t="str">
            <v>TT PAYS LOCMINE 1</v>
          </cell>
          <cell r="R21" t="str">
            <v>reçoit</v>
          </cell>
          <cell r="V21" t="str">
            <v>ES PLESCOP TT 5</v>
          </cell>
          <cell r="X21" t="str">
            <v>reçoit</v>
          </cell>
          <cell r="Z21" t="str">
            <v>Journée n° 4</v>
          </cell>
          <cell r="AB21" t="str">
            <v>BAUD TT 1</v>
          </cell>
          <cell r="AC21" t="str">
            <v>BAUD TT 1</v>
          </cell>
          <cell r="AD21" t="str">
            <v>va à</v>
          </cell>
          <cell r="AH21" t="str">
            <v>RM PLUMELEC 2</v>
          </cell>
          <cell r="AJ21" t="str">
            <v>va à</v>
          </cell>
        </row>
        <row r="22">
          <cell r="B22">
            <v>41950</v>
          </cell>
          <cell r="D22" t="str">
            <v/>
          </cell>
          <cell r="E22">
            <v>11</v>
          </cell>
          <cell r="F22" t="str">
            <v>Vict 11 - 3</v>
          </cell>
          <cell r="J22" t="str">
            <v/>
          </cell>
          <cell r="K22">
            <v>9</v>
          </cell>
          <cell r="L22" t="str">
            <v>Vict 9 - 5</v>
          </cell>
          <cell r="P22" t="str">
            <v/>
          </cell>
          <cell r="Q22">
            <v>10</v>
          </cell>
          <cell r="R22" t="str">
            <v>Vict 10 - 4</v>
          </cell>
          <cell r="V22" t="str">
            <v/>
          </cell>
          <cell r="W22">
            <v>4</v>
          </cell>
          <cell r="X22" t="str">
            <v>Déf 10 - 4</v>
          </cell>
          <cell r="AB22" t="str">
            <v/>
          </cell>
          <cell r="AC22" t="str">
            <v>e</v>
          </cell>
          <cell r="AD22" t="str">
            <v/>
          </cell>
          <cell r="AH22" t="str">
            <v/>
          </cell>
          <cell r="AI22">
            <v>13</v>
          </cell>
          <cell r="AJ22" t="str">
            <v>Vict 13 - 1</v>
          </cell>
        </row>
        <row r="23">
          <cell r="B23" t="str">
            <v>AURORE VITRE TT 2</v>
          </cell>
          <cell r="C23" t="str">
            <v>-</v>
          </cell>
          <cell r="D23" t="str">
            <v>MUZILLAC TT 1</v>
          </cell>
          <cell r="E23">
            <v>3</v>
          </cell>
          <cell r="F23">
            <v>11</v>
          </cell>
          <cell r="H23" t="str">
            <v>ASPTT VANNES 4</v>
          </cell>
          <cell r="I23" t="str">
            <v>-</v>
          </cell>
          <cell r="J23" t="str">
            <v>MUZILLAC TT 2</v>
          </cell>
          <cell r="K23">
            <v>5</v>
          </cell>
          <cell r="L23">
            <v>9</v>
          </cell>
          <cell r="N23" t="str">
            <v>BO QUESTEMBERT 2</v>
          </cell>
          <cell r="O23" t="str">
            <v>-</v>
          </cell>
          <cell r="P23" t="str">
            <v>AO ST-NOLFF 1</v>
          </cell>
          <cell r="Q23">
            <v>8</v>
          </cell>
          <cell r="R23">
            <v>6</v>
          </cell>
          <cell r="T23" t="str">
            <v>ASPTT VANNES 4</v>
          </cell>
          <cell r="U23" t="str">
            <v>-</v>
          </cell>
          <cell r="V23" t="str">
            <v>MUZILLAC TT 2</v>
          </cell>
          <cell r="W23">
            <v>5</v>
          </cell>
          <cell r="X23">
            <v>9</v>
          </cell>
          <cell r="Z23" t="str">
            <v>PLUNERET/MERIAD 3</v>
          </cell>
          <cell r="AA23" t="str">
            <v>-</v>
          </cell>
          <cell r="AB23" t="str">
            <v>AO ST-NOLFF 2</v>
          </cell>
          <cell r="AC23">
            <v>7</v>
          </cell>
          <cell r="AD23">
            <v>7</v>
          </cell>
          <cell r="AF23" t="str">
            <v>MUZILLAC TT 6</v>
          </cell>
          <cell r="AG23" t="str">
            <v>-</v>
          </cell>
          <cell r="AH23" t="str">
            <v>AO ST-NOLFF 3</v>
          </cell>
          <cell r="AI23">
            <v>13</v>
          </cell>
          <cell r="AJ23">
            <v>1</v>
          </cell>
        </row>
        <row r="24">
          <cell r="B24" t="str">
            <v>AJK VANNES 2</v>
          </cell>
          <cell r="C24" t="str">
            <v>-</v>
          </cell>
          <cell r="D24" t="str">
            <v>7 ILES PERROS 3</v>
          </cell>
          <cell r="E24">
            <v>10</v>
          </cell>
          <cell r="F24">
            <v>4</v>
          </cell>
          <cell r="H24" t="str">
            <v>TT RHUYS 1</v>
          </cell>
          <cell r="I24" t="str">
            <v>-</v>
          </cell>
          <cell r="J24" t="str">
            <v>SENE TT 2</v>
          </cell>
          <cell r="K24">
            <v>1</v>
          </cell>
          <cell r="L24">
            <v>13</v>
          </cell>
          <cell r="N24" t="str">
            <v>TT PAYS LOCMINE 1</v>
          </cell>
          <cell r="O24" t="str">
            <v>-</v>
          </cell>
          <cell r="P24" t="str">
            <v>L. PLOERMEL 4</v>
          </cell>
          <cell r="Q24">
            <v>3</v>
          </cell>
          <cell r="R24">
            <v>11</v>
          </cell>
          <cell r="T24" t="str">
            <v>TT RHUYS 1</v>
          </cell>
          <cell r="U24" t="str">
            <v>-</v>
          </cell>
          <cell r="V24" t="str">
            <v>SENE TT 2</v>
          </cell>
          <cell r="W24">
            <v>1</v>
          </cell>
          <cell r="X24">
            <v>13</v>
          </cell>
          <cell r="Z24" t="str">
            <v>TT RHUYS 2</v>
          </cell>
          <cell r="AA24" t="str">
            <v>-</v>
          </cell>
          <cell r="AB24" t="str">
            <v>CTT MENIMUR 5</v>
          </cell>
          <cell r="AC24">
            <v>7</v>
          </cell>
          <cell r="AD24">
            <v>7</v>
          </cell>
          <cell r="AF24" t="str">
            <v>ST-JEAN BREVELA 2</v>
          </cell>
          <cell r="AG24" t="str">
            <v>-</v>
          </cell>
          <cell r="AH24" t="str">
            <v>RM PLUMELEC 2</v>
          </cell>
          <cell r="AI24">
            <v>12</v>
          </cell>
          <cell r="AJ24">
            <v>2</v>
          </cell>
        </row>
        <row r="25">
          <cell r="B25" t="str">
            <v>GV HENNEBONT 7</v>
          </cell>
          <cell r="C25" t="str">
            <v>-</v>
          </cell>
          <cell r="D25" t="str">
            <v>TT PLEMET/PLUMIEUX1</v>
          </cell>
          <cell r="E25">
            <v>11</v>
          </cell>
          <cell r="F25">
            <v>3</v>
          </cell>
          <cell r="H25" t="str">
            <v>CTT MENIMUR 3</v>
          </cell>
          <cell r="I25" t="str">
            <v>-</v>
          </cell>
          <cell r="J25" t="str">
            <v>MUZILLAC TT 4</v>
          </cell>
          <cell r="K25">
            <v>10</v>
          </cell>
          <cell r="L25">
            <v>4</v>
          </cell>
          <cell r="N25" t="str">
            <v>MUZILLAC TT 3</v>
          </cell>
          <cell r="O25" t="str">
            <v>-</v>
          </cell>
          <cell r="P25" t="str">
            <v>US ST-ABRAHAM 2</v>
          </cell>
          <cell r="Q25">
            <v>10</v>
          </cell>
          <cell r="R25">
            <v>4</v>
          </cell>
          <cell r="T25" t="str">
            <v>CTT MENIMUR 3</v>
          </cell>
          <cell r="U25" t="str">
            <v>-</v>
          </cell>
          <cell r="V25" t="str">
            <v>MUZILLAC TT 4</v>
          </cell>
          <cell r="W25">
            <v>10</v>
          </cell>
          <cell r="X25">
            <v>4</v>
          </cell>
          <cell r="Z25" t="str">
            <v>ASPTT VANNES 5</v>
          </cell>
          <cell r="AA25" t="str">
            <v>-</v>
          </cell>
          <cell r="AB25" t="str">
            <v>BAUD TT 1</v>
          </cell>
          <cell r="AC25">
            <v>7</v>
          </cell>
          <cell r="AD25">
            <v>7</v>
          </cell>
          <cell r="AF25" t="str">
            <v>BO QUESTEMBERT 4</v>
          </cell>
          <cell r="AG25" t="str">
            <v>-</v>
          </cell>
          <cell r="AH25" t="str">
            <v>ARGOET STT 4</v>
          </cell>
          <cell r="AI25">
            <v>3</v>
          </cell>
          <cell r="AJ25">
            <v>11</v>
          </cell>
        </row>
        <row r="26">
          <cell r="B26" t="str">
            <v>TT PORDIC 1</v>
          </cell>
          <cell r="C26" t="str">
            <v>-</v>
          </cell>
          <cell r="D26" t="str">
            <v>RENNES TA 2</v>
          </cell>
          <cell r="E26">
            <v>4</v>
          </cell>
          <cell r="F26">
            <v>10</v>
          </cell>
          <cell r="H26" t="str">
            <v>BO QUESTEMBERT 1</v>
          </cell>
          <cell r="I26" t="str">
            <v>-</v>
          </cell>
          <cell r="J26" t="str">
            <v>ES PLESCOP TT 5</v>
          </cell>
          <cell r="K26">
            <v>11</v>
          </cell>
          <cell r="L26">
            <v>3</v>
          </cell>
          <cell r="N26" t="str">
            <v>CTT MENIMUR 4</v>
          </cell>
          <cell r="O26" t="str">
            <v>-</v>
          </cell>
          <cell r="P26" t="str">
            <v>ARGOET STT 1</v>
          </cell>
          <cell r="Q26">
            <v>7</v>
          </cell>
          <cell r="R26">
            <v>7</v>
          </cell>
          <cell r="T26" t="str">
            <v>BO QUESTEMBERT 1</v>
          </cell>
          <cell r="U26" t="str">
            <v>-</v>
          </cell>
          <cell r="V26" t="str">
            <v>ES PLESCOP TT 5</v>
          </cell>
          <cell r="W26">
            <v>11</v>
          </cell>
          <cell r="X26">
            <v>3</v>
          </cell>
          <cell r="Z26" t="str">
            <v>Exempt</v>
          </cell>
          <cell r="AA26" t="str">
            <v>-</v>
          </cell>
          <cell r="AB26" t="str">
            <v>MUZILLAC TT 5</v>
          </cell>
          <cell r="AC26" t="str">
            <v>e</v>
          </cell>
          <cell r="AD26" t="str">
            <v>e</v>
          </cell>
          <cell r="AF26" t="str">
            <v>L. PLOERMEL 7</v>
          </cell>
          <cell r="AG26" t="str">
            <v>-</v>
          </cell>
          <cell r="AH26" t="str">
            <v>Exempt</v>
          </cell>
          <cell r="AI26" t="str">
            <v>e</v>
          </cell>
          <cell r="AJ26" t="str">
            <v>e</v>
          </cell>
        </row>
        <row r="27">
          <cell r="B27" t="str">
            <v>Journée n° 5</v>
          </cell>
          <cell r="D27" t="str">
            <v>AURORE VITRE TT 2</v>
          </cell>
          <cell r="F27" t="str">
            <v>va à</v>
          </cell>
          <cell r="J27" t="str">
            <v>ASPTT VANNES 4</v>
          </cell>
          <cell r="L27" t="str">
            <v>va à</v>
          </cell>
          <cell r="N27" t="str">
            <v xml:space="preserve">Journée n° 5 </v>
          </cell>
          <cell r="P27" t="str">
            <v>US ST-ABRAHAM 2</v>
          </cell>
          <cell r="R27" t="str">
            <v>reçoit</v>
          </cell>
          <cell r="V27" t="str">
            <v>CTT MENIMUR 3</v>
          </cell>
          <cell r="X27" t="str">
            <v>va à</v>
          </cell>
          <cell r="Z27" t="str">
            <v>Journée n° 5</v>
          </cell>
          <cell r="AB27" t="str">
            <v>Exempt</v>
          </cell>
          <cell r="AC27" t="str">
            <v>Exempt</v>
          </cell>
          <cell r="AD27" t="str">
            <v>va à</v>
          </cell>
          <cell r="AH27" t="str">
            <v>AO ST-NOLFF 3</v>
          </cell>
          <cell r="AJ27" t="str">
            <v>reçoit</v>
          </cell>
        </row>
        <row r="28">
          <cell r="B28">
            <v>41964</v>
          </cell>
          <cell r="D28" t="str">
            <v/>
          </cell>
          <cell r="E28">
            <v>12</v>
          </cell>
          <cell r="F28" t="str">
            <v>Vict 12 - 2</v>
          </cell>
          <cell r="J28" t="str">
            <v/>
          </cell>
          <cell r="K28">
            <v>13</v>
          </cell>
          <cell r="L28" t="str">
            <v>Vict 13 - 1</v>
          </cell>
          <cell r="P28" t="str">
            <v/>
          </cell>
          <cell r="Q28">
            <v>8</v>
          </cell>
          <cell r="R28" t="str">
            <v>Vict 8 - 6</v>
          </cell>
          <cell r="V28" t="str">
            <v/>
          </cell>
          <cell r="W28">
            <v>3</v>
          </cell>
          <cell r="X28" t="str">
            <v>Déf 11 - 3</v>
          </cell>
          <cell r="AB28" t="str">
            <v/>
          </cell>
          <cell r="AC28">
            <v>7</v>
          </cell>
          <cell r="AD28" t="str">
            <v>Nul 7 - 7</v>
          </cell>
          <cell r="AH28" t="str">
            <v/>
          </cell>
          <cell r="AI28" t="str">
            <v>e</v>
          </cell>
          <cell r="AJ28" t="str">
            <v/>
          </cell>
        </row>
        <row r="29">
          <cell r="B29" t="str">
            <v>MUZILLAC TT 1</v>
          </cell>
          <cell r="C29" t="str">
            <v>-</v>
          </cell>
          <cell r="D29" t="str">
            <v>AJK VANNES 2</v>
          </cell>
          <cell r="E29">
            <v>12</v>
          </cell>
          <cell r="F29">
            <v>2</v>
          </cell>
          <cell r="H29" t="str">
            <v>MUZILLAC TT 2</v>
          </cell>
          <cell r="I29" t="str">
            <v>-</v>
          </cell>
          <cell r="J29" t="str">
            <v>TT RHUYS 1</v>
          </cell>
          <cell r="K29">
            <v>13</v>
          </cell>
          <cell r="L29">
            <v>1</v>
          </cell>
          <cell r="N29" t="str">
            <v>AO ST-NOLFF 1</v>
          </cell>
          <cell r="O29" t="str">
            <v>-</v>
          </cell>
          <cell r="P29" t="str">
            <v>TT PAYS LOCMINE 1</v>
          </cell>
          <cell r="Q29">
            <v>8</v>
          </cell>
          <cell r="R29">
            <v>6</v>
          </cell>
          <cell r="T29" t="str">
            <v>MUZILLAC TT 2</v>
          </cell>
          <cell r="U29" t="str">
            <v>-</v>
          </cell>
          <cell r="V29" t="str">
            <v>TT RHUYS 1</v>
          </cell>
          <cell r="W29">
            <v>13</v>
          </cell>
          <cell r="X29">
            <v>1</v>
          </cell>
          <cell r="Z29" t="str">
            <v>AO ST-NOLFF 2</v>
          </cell>
          <cell r="AA29" t="str">
            <v>-</v>
          </cell>
          <cell r="AB29" t="str">
            <v>TT RHUYS 2</v>
          </cell>
          <cell r="AC29">
            <v>4</v>
          </cell>
          <cell r="AD29">
            <v>10</v>
          </cell>
          <cell r="AF29" t="str">
            <v>AO ST-NOLFF 3</v>
          </cell>
          <cell r="AG29" t="str">
            <v>-</v>
          </cell>
          <cell r="AH29" t="str">
            <v>ST-JEAN BREVELA 2</v>
          </cell>
          <cell r="AI29">
            <v>4</v>
          </cell>
          <cell r="AJ29">
            <v>10</v>
          </cell>
        </row>
        <row r="30">
          <cell r="B30" t="str">
            <v>7 ILES PERROS 3</v>
          </cell>
          <cell r="C30" t="str">
            <v>-</v>
          </cell>
          <cell r="D30" t="str">
            <v>GV HENNEBONT 7</v>
          </cell>
          <cell r="E30">
            <v>7</v>
          </cell>
          <cell r="F30">
            <v>7</v>
          </cell>
          <cell r="H30" t="str">
            <v>SENE TT 2</v>
          </cell>
          <cell r="I30" t="str">
            <v>-</v>
          </cell>
          <cell r="J30" t="str">
            <v>CTT MENIMUR 3</v>
          </cell>
          <cell r="K30">
            <v>12</v>
          </cell>
          <cell r="L30">
            <v>2</v>
          </cell>
          <cell r="N30" t="str">
            <v>L. PLOERMEL 4</v>
          </cell>
          <cell r="O30" t="str">
            <v>-</v>
          </cell>
          <cell r="P30" t="str">
            <v>MUZILLAC TT 3</v>
          </cell>
          <cell r="Q30">
            <v>6</v>
          </cell>
          <cell r="R30">
            <v>8</v>
          </cell>
          <cell r="T30" t="str">
            <v>SENE TT 2</v>
          </cell>
          <cell r="U30" t="str">
            <v>-</v>
          </cell>
          <cell r="V30" t="str">
            <v>CTT MENIMUR 3</v>
          </cell>
          <cell r="W30">
            <v>12</v>
          </cell>
          <cell r="X30">
            <v>2</v>
          </cell>
          <cell r="Z30" t="str">
            <v>CTT MENIMUR 5</v>
          </cell>
          <cell r="AA30" t="str">
            <v>-</v>
          </cell>
          <cell r="AB30" t="str">
            <v>ASPTT VANNES 5</v>
          </cell>
          <cell r="AC30">
            <v>5</v>
          </cell>
          <cell r="AD30">
            <v>9</v>
          </cell>
          <cell r="AF30" t="str">
            <v>RM PLUMELEC 2</v>
          </cell>
          <cell r="AG30" t="str">
            <v>-</v>
          </cell>
          <cell r="AH30" t="str">
            <v>BO QUESTEMBERT 4</v>
          </cell>
          <cell r="AI30">
            <v>3</v>
          </cell>
          <cell r="AJ30">
            <v>11</v>
          </cell>
        </row>
        <row r="31">
          <cell r="B31" t="str">
            <v>RENNES TA 2</v>
          </cell>
          <cell r="C31" t="str">
            <v>-</v>
          </cell>
          <cell r="D31" t="str">
            <v>AURORE VITRE TT 2</v>
          </cell>
          <cell r="E31">
            <v>8</v>
          </cell>
          <cell r="F31">
            <v>6</v>
          </cell>
          <cell r="H31" t="str">
            <v>ES PLESCOP TT 5</v>
          </cell>
          <cell r="I31" t="str">
            <v>-</v>
          </cell>
          <cell r="J31" t="str">
            <v>ASPTT VANNES 4</v>
          </cell>
          <cell r="K31">
            <v>12</v>
          </cell>
          <cell r="L31">
            <v>2</v>
          </cell>
          <cell r="N31" t="str">
            <v>ARGOET STT 1</v>
          </cell>
          <cell r="O31" t="str">
            <v>-</v>
          </cell>
          <cell r="P31" t="str">
            <v>BO QUESTEMBERT 2</v>
          </cell>
          <cell r="Q31">
            <v>5</v>
          </cell>
          <cell r="R31">
            <v>9</v>
          </cell>
          <cell r="T31" t="str">
            <v>ES PLESCOP TT 5</v>
          </cell>
          <cell r="U31" t="str">
            <v>-</v>
          </cell>
          <cell r="V31" t="str">
            <v>ASPTT VANNES 4</v>
          </cell>
          <cell r="W31">
            <v>12</v>
          </cell>
          <cell r="X31">
            <v>2</v>
          </cell>
          <cell r="Z31" t="str">
            <v>MUZILLAC TT 5</v>
          </cell>
          <cell r="AA31" t="str">
            <v>-</v>
          </cell>
          <cell r="AB31" t="str">
            <v>PLUNERET/MERIAD 3</v>
          </cell>
          <cell r="AC31">
            <v>7</v>
          </cell>
          <cell r="AD31">
            <v>7</v>
          </cell>
          <cell r="AF31" t="str">
            <v>Exempt</v>
          </cell>
          <cell r="AG31" t="str">
            <v>-</v>
          </cell>
          <cell r="AH31" t="str">
            <v>MUZILLAC TT 6</v>
          </cell>
          <cell r="AI31" t="str">
            <v>e</v>
          </cell>
          <cell r="AJ31" t="str">
            <v>e</v>
          </cell>
        </row>
        <row r="32">
          <cell r="B32" t="str">
            <v>TT PLEMET/PLUMIEUX1</v>
          </cell>
          <cell r="C32" t="str">
            <v>-</v>
          </cell>
          <cell r="D32" t="str">
            <v>TT PORDIC 1</v>
          </cell>
          <cell r="E32">
            <v>8</v>
          </cell>
          <cell r="F32">
            <v>6</v>
          </cell>
          <cell r="H32" t="str">
            <v>MUZILLAC TT 4</v>
          </cell>
          <cell r="I32" t="str">
            <v>-</v>
          </cell>
          <cell r="J32" t="str">
            <v>BO QUESTEMBERT 1</v>
          </cell>
          <cell r="K32">
            <v>3</v>
          </cell>
          <cell r="L32">
            <v>11</v>
          </cell>
          <cell r="N32" t="str">
            <v>US ST-ABRAHAM 2</v>
          </cell>
          <cell r="O32" t="str">
            <v>-</v>
          </cell>
          <cell r="P32" t="str">
            <v>CTT MENIMUR 4</v>
          </cell>
          <cell r="Q32">
            <v>11</v>
          </cell>
          <cell r="R32">
            <v>3</v>
          </cell>
          <cell r="T32" t="str">
            <v>MUZILLAC TT 4</v>
          </cell>
          <cell r="U32" t="str">
            <v>-</v>
          </cell>
          <cell r="V32" t="str">
            <v>BO QUESTEMBERT 1</v>
          </cell>
          <cell r="W32">
            <v>3</v>
          </cell>
          <cell r="X32">
            <v>11</v>
          </cell>
          <cell r="Z32" t="str">
            <v>BAUD TT 1</v>
          </cell>
          <cell r="AA32" t="str">
            <v>-</v>
          </cell>
          <cell r="AB32" t="str">
            <v>Exempt</v>
          </cell>
          <cell r="AC32" t="str">
            <v>e</v>
          </cell>
          <cell r="AD32" t="str">
            <v>e</v>
          </cell>
          <cell r="AF32" t="str">
            <v>ARGOET STT 4</v>
          </cell>
          <cell r="AG32" t="str">
            <v>-</v>
          </cell>
          <cell r="AH32" t="str">
            <v>L. PLOERMEL 7</v>
          </cell>
          <cell r="AI32">
            <v>6</v>
          </cell>
          <cell r="AJ32">
            <v>8</v>
          </cell>
        </row>
        <row r="33">
          <cell r="B33" t="str">
            <v>Journée n° 6</v>
          </cell>
          <cell r="D33" t="str">
            <v>AJK VANNES 2</v>
          </cell>
          <cell r="F33" t="str">
            <v>reçoit</v>
          </cell>
          <cell r="J33" t="str">
            <v>TT RHUYS 1</v>
          </cell>
          <cell r="L33" t="str">
            <v>reçoit</v>
          </cell>
          <cell r="N33" t="str">
            <v>Journée n° 6</v>
          </cell>
          <cell r="P33" t="str">
            <v>L. PLOERMEL 4</v>
          </cell>
          <cell r="R33" t="str">
            <v>va à</v>
          </cell>
          <cell r="V33" t="str">
            <v>BO QUESTEMBERT 1</v>
          </cell>
          <cell r="X33" t="str">
            <v>reçoit</v>
          </cell>
          <cell r="Z33" t="str">
            <v>Journée n° 6</v>
          </cell>
          <cell r="AB33" t="str">
            <v>PLUNERET/MERIAD 3</v>
          </cell>
          <cell r="AC33" t="str">
            <v>PLUNERET/MERIAD 3</v>
          </cell>
          <cell r="AD33" t="str">
            <v>reçoit</v>
          </cell>
          <cell r="AH33" t="str">
            <v>Exempt</v>
          </cell>
          <cell r="AJ33" t="str">
            <v>va à</v>
          </cell>
        </row>
        <row r="34">
          <cell r="B34">
            <v>41978</v>
          </cell>
          <cell r="D34" t="str">
            <v/>
          </cell>
          <cell r="E34">
            <v>12</v>
          </cell>
          <cell r="F34" t="str">
            <v>Vict 12 - 2</v>
          </cell>
          <cell r="J34" t="str">
            <v/>
          </cell>
          <cell r="K34">
            <v>11</v>
          </cell>
          <cell r="L34" t="str">
            <v>Vict 11 - 3</v>
          </cell>
          <cell r="P34" t="str">
            <v/>
          </cell>
          <cell r="Q34">
            <v>11</v>
          </cell>
          <cell r="R34" t="str">
            <v>Vict 11 - 3</v>
          </cell>
          <cell r="V34" t="str">
            <v/>
          </cell>
          <cell r="W34">
            <v>1</v>
          </cell>
          <cell r="X34" t="str">
            <v>Déf 13 - 1</v>
          </cell>
          <cell r="AB34" t="str">
            <v/>
          </cell>
          <cell r="AC34">
            <v>6</v>
          </cell>
          <cell r="AD34" t="str">
            <v>Déf 8 - 6</v>
          </cell>
          <cell r="AH34" t="str">
            <v/>
          </cell>
          <cell r="AI34">
            <v>12</v>
          </cell>
          <cell r="AJ34" t="str">
            <v>Vict 12 - 2</v>
          </cell>
        </row>
        <row r="35">
          <cell r="B35" t="str">
            <v>GV HENNEBONT 7</v>
          </cell>
          <cell r="C35" t="str">
            <v>-</v>
          </cell>
          <cell r="D35" t="str">
            <v>MUZILLAC TT 1</v>
          </cell>
          <cell r="E35">
            <v>2</v>
          </cell>
          <cell r="F35">
            <v>12</v>
          </cell>
          <cell r="H35" t="str">
            <v>CTT MENIMUR 3</v>
          </cell>
          <cell r="I35" t="str">
            <v>-</v>
          </cell>
          <cell r="J35" t="str">
            <v>MUZILLAC TT 2</v>
          </cell>
          <cell r="K35">
            <v>3</v>
          </cell>
          <cell r="L35">
            <v>11</v>
          </cell>
          <cell r="N35" t="str">
            <v>MUZILLAC TT 3</v>
          </cell>
          <cell r="O35" t="str">
            <v>-</v>
          </cell>
          <cell r="P35" t="str">
            <v>AO ST-NOLFF 1</v>
          </cell>
          <cell r="Q35">
            <v>11</v>
          </cell>
          <cell r="R35">
            <v>3</v>
          </cell>
          <cell r="T35" t="str">
            <v>CTT MENIMUR 3</v>
          </cell>
          <cell r="U35" t="str">
            <v>-</v>
          </cell>
          <cell r="V35" t="str">
            <v>MUZILLAC TT 2</v>
          </cell>
          <cell r="W35">
            <v>3</v>
          </cell>
          <cell r="X35">
            <v>11</v>
          </cell>
          <cell r="Z35" t="str">
            <v>ASPTT VANNES 5</v>
          </cell>
          <cell r="AA35" t="str">
            <v>-</v>
          </cell>
          <cell r="AB35" t="str">
            <v>AO ST-NOLFF 2</v>
          </cell>
          <cell r="AC35">
            <v>10</v>
          </cell>
          <cell r="AD35">
            <v>4</v>
          </cell>
          <cell r="AF35" t="str">
            <v>BO QUESTEMBERT 4</v>
          </cell>
          <cell r="AG35" t="str">
            <v>-</v>
          </cell>
          <cell r="AH35" t="str">
            <v>AO ST-NOLFF 3</v>
          </cell>
          <cell r="AI35">
            <v>2</v>
          </cell>
          <cell r="AJ35">
            <v>12</v>
          </cell>
        </row>
        <row r="36">
          <cell r="B36" t="str">
            <v>7 ILES PERROS 3</v>
          </cell>
          <cell r="C36" t="str">
            <v>-</v>
          </cell>
          <cell r="D36" t="str">
            <v>TT PLEMET/PLUMIEUX1</v>
          </cell>
          <cell r="E36">
            <v>6</v>
          </cell>
          <cell r="F36">
            <v>8</v>
          </cell>
          <cell r="H36" t="str">
            <v>SENE TT 2</v>
          </cell>
          <cell r="I36" t="str">
            <v>-</v>
          </cell>
          <cell r="J36" t="str">
            <v>MUZILLAC TT 4</v>
          </cell>
          <cell r="K36">
            <v>13</v>
          </cell>
          <cell r="L36">
            <v>1</v>
          </cell>
          <cell r="N36" t="str">
            <v>L. PLOERMEL 4</v>
          </cell>
          <cell r="O36" t="str">
            <v>-</v>
          </cell>
          <cell r="P36" t="str">
            <v>US ST-ABRAHAM 2</v>
          </cell>
          <cell r="Q36">
            <v>8</v>
          </cell>
          <cell r="R36">
            <v>6</v>
          </cell>
          <cell r="T36" t="str">
            <v>SENE TT 2</v>
          </cell>
          <cell r="U36" t="str">
            <v>-</v>
          </cell>
          <cell r="V36" t="str">
            <v>MUZILLAC TT 4</v>
          </cell>
          <cell r="W36">
            <v>13</v>
          </cell>
          <cell r="X36">
            <v>1</v>
          </cell>
          <cell r="Z36" t="str">
            <v>CTT MENIMUR 5</v>
          </cell>
          <cell r="AA36" t="str">
            <v>-</v>
          </cell>
          <cell r="AB36" t="str">
            <v>BAUD TT 1</v>
          </cell>
          <cell r="AC36">
            <v>8</v>
          </cell>
          <cell r="AD36">
            <v>8</v>
          </cell>
          <cell r="AF36" t="str">
            <v>RM PLUMELEC 2</v>
          </cell>
          <cell r="AG36" t="str">
            <v>-</v>
          </cell>
          <cell r="AH36" t="str">
            <v>ARGOET STT 4</v>
          </cell>
          <cell r="AI36">
            <v>2</v>
          </cell>
          <cell r="AJ36">
            <v>12</v>
          </cell>
        </row>
        <row r="37">
          <cell r="B37" t="str">
            <v>AJK VANNES 2</v>
          </cell>
          <cell r="C37" t="str">
            <v>-</v>
          </cell>
          <cell r="D37" t="str">
            <v>RENNES TA 2</v>
          </cell>
          <cell r="E37">
            <v>6</v>
          </cell>
          <cell r="F37">
            <v>8</v>
          </cell>
          <cell r="H37" t="str">
            <v>TT RHUYS 1</v>
          </cell>
          <cell r="I37" t="str">
            <v>-</v>
          </cell>
          <cell r="J37" t="str">
            <v>ES PLESCOP TT 5</v>
          </cell>
          <cell r="K37">
            <v>5</v>
          </cell>
          <cell r="L37">
            <v>9</v>
          </cell>
          <cell r="N37" t="str">
            <v>TT PAYS LOCMINE 1</v>
          </cell>
          <cell r="O37" t="str">
            <v>-</v>
          </cell>
          <cell r="P37" t="str">
            <v>ARGOET STT 1</v>
          </cell>
          <cell r="Q37">
            <v>6</v>
          </cell>
          <cell r="R37">
            <v>8</v>
          </cell>
          <cell r="T37" t="str">
            <v>TT RHUYS 1</v>
          </cell>
          <cell r="U37" t="str">
            <v>-</v>
          </cell>
          <cell r="V37" t="str">
            <v>ES PLESCOP TT 5</v>
          </cell>
          <cell r="W37">
            <v>5</v>
          </cell>
          <cell r="X37">
            <v>9</v>
          </cell>
          <cell r="Z37" t="str">
            <v>TT RHUYS 2</v>
          </cell>
          <cell r="AA37" t="str">
            <v>-</v>
          </cell>
          <cell r="AB37" t="str">
            <v>MUZILLAC TT 5</v>
          </cell>
          <cell r="AC37">
            <v>8</v>
          </cell>
          <cell r="AD37">
            <v>6</v>
          </cell>
          <cell r="AF37" t="str">
            <v>ST-JEAN BREVELA 2</v>
          </cell>
          <cell r="AG37" t="str">
            <v>-</v>
          </cell>
          <cell r="AH37" t="str">
            <v>Exempt</v>
          </cell>
          <cell r="AI37" t="str">
            <v>e</v>
          </cell>
          <cell r="AJ37" t="str">
            <v>e</v>
          </cell>
        </row>
        <row r="38">
          <cell r="B38" t="str">
            <v>AURORE VITRE TT 2</v>
          </cell>
          <cell r="C38" t="str">
            <v>-</v>
          </cell>
          <cell r="D38" t="str">
            <v>TT PORDIC 1</v>
          </cell>
          <cell r="E38">
            <v>10</v>
          </cell>
          <cell r="F38">
            <v>4</v>
          </cell>
          <cell r="H38" t="str">
            <v>ASPTT VANNES 4</v>
          </cell>
          <cell r="I38" t="str">
            <v>-</v>
          </cell>
          <cell r="J38" t="str">
            <v>BO QUESTEMBERT 1</v>
          </cell>
          <cell r="K38">
            <v>8</v>
          </cell>
          <cell r="L38">
            <v>6</v>
          </cell>
          <cell r="N38" t="str">
            <v>BO QUESTEMBERT 2</v>
          </cell>
          <cell r="O38" t="str">
            <v>-</v>
          </cell>
          <cell r="P38" t="str">
            <v>CTT MENIMUR 4</v>
          </cell>
          <cell r="Q38">
            <v>11</v>
          </cell>
          <cell r="R38">
            <v>3</v>
          </cell>
          <cell r="T38" t="str">
            <v>ASPTT VANNES 4</v>
          </cell>
          <cell r="U38" t="str">
            <v>-</v>
          </cell>
          <cell r="V38" t="str">
            <v>BO QUESTEMBERT 1</v>
          </cell>
          <cell r="W38">
            <v>8</v>
          </cell>
          <cell r="X38">
            <v>6</v>
          </cell>
          <cell r="Z38" t="str">
            <v>PLUNERET/MERIAD 3</v>
          </cell>
          <cell r="AA38" t="str">
            <v>-</v>
          </cell>
          <cell r="AB38" t="str">
            <v>Exempt</v>
          </cell>
          <cell r="AC38" t="str">
            <v>e</v>
          </cell>
          <cell r="AD38" t="str">
            <v>e</v>
          </cell>
          <cell r="AF38" t="str">
            <v>MUZILLAC TT 6</v>
          </cell>
          <cell r="AG38" t="str">
            <v>-</v>
          </cell>
          <cell r="AH38" t="str">
            <v>L. PLOERMEL 7</v>
          </cell>
          <cell r="AI38">
            <v>12</v>
          </cell>
          <cell r="AJ38">
            <v>2</v>
          </cell>
        </row>
        <row r="39">
          <cell r="B39" t="str">
            <v>Journée n° 7</v>
          </cell>
          <cell r="D39" t="str">
            <v>GV HENNEBONT 7</v>
          </cell>
          <cell r="F39" t="str">
            <v>va à</v>
          </cell>
          <cell r="J39" t="str">
            <v>CTT MENIMUR 3</v>
          </cell>
          <cell r="L39" t="str">
            <v>va à</v>
          </cell>
          <cell r="N39" t="str">
            <v xml:space="preserve">Journée n° 7 </v>
          </cell>
          <cell r="P39" t="str">
            <v>AO ST-NOLFF 1</v>
          </cell>
          <cell r="R39" t="str">
            <v>reçoit</v>
          </cell>
          <cell r="V39" t="str">
            <v>SENE TT 2</v>
          </cell>
          <cell r="X39" t="str">
            <v>va à</v>
          </cell>
          <cell r="Z39" t="str">
            <v>Journée n° 7</v>
          </cell>
          <cell r="AB39" t="str">
            <v>TT RHUYS 2</v>
          </cell>
          <cell r="AC39" t="str">
            <v>TT RHUYS 2</v>
          </cell>
          <cell r="AD39" t="str">
            <v>va à</v>
          </cell>
          <cell r="AH39" t="str">
            <v>L. PLOERMEL 7</v>
          </cell>
          <cell r="AJ39" t="str">
            <v>reçoit</v>
          </cell>
        </row>
        <row r="40">
          <cell r="B40">
            <v>41985</v>
          </cell>
          <cell r="D40" t="str">
            <v/>
          </cell>
          <cell r="E40">
            <v>10</v>
          </cell>
          <cell r="F40" t="str">
            <v>Vict 10 - 4</v>
          </cell>
          <cell r="J40" t="str">
            <v/>
          </cell>
          <cell r="K40">
            <v>6</v>
          </cell>
          <cell r="L40" t="str">
            <v>Déf 8 - 6</v>
          </cell>
          <cell r="P40" t="str">
            <v/>
          </cell>
          <cell r="Q40">
            <v>11</v>
          </cell>
          <cell r="R40" t="str">
            <v>Vict 11 - 3</v>
          </cell>
          <cell r="V40" t="str">
            <v/>
          </cell>
          <cell r="W40">
            <v>7</v>
          </cell>
          <cell r="X40" t="str">
            <v>Nul 7 - 7</v>
          </cell>
          <cell r="AB40" t="str">
            <v/>
          </cell>
          <cell r="AC40">
            <v>3</v>
          </cell>
          <cell r="AD40" t="str">
            <v>Déf 11 - 3</v>
          </cell>
          <cell r="AH40" t="str">
            <v/>
          </cell>
          <cell r="AI40">
            <v>10</v>
          </cell>
          <cell r="AJ40" t="str">
            <v>Vict 10 - 4</v>
          </cell>
        </row>
        <row r="41">
          <cell r="B41" t="str">
            <v>MUZILLAC TT 1</v>
          </cell>
          <cell r="C41" t="str">
            <v>-</v>
          </cell>
          <cell r="D41" t="str">
            <v>7 ILES PERROS 3</v>
          </cell>
          <cell r="E41">
            <v>10</v>
          </cell>
          <cell r="F41">
            <v>4</v>
          </cell>
          <cell r="H41" t="str">
            <v>MUZILLAC TT 2</v>
          </cell>
          <cell r="I41" t="str">
            <v>-</v>
          </cell>
          <cell r="J41" t="str">
            <v>SENE TT 2</v>
          </cell>
          <cell r="K41">
            <v>6</v>
          </cell>
          <cell r="L41">
            <v>8</v>
          </cell>
          <cell r="N41" t="str">
            <v>AO ST-NOLFF 1</v>
          </cell>
          <cell r="O41" t="str">
            <v>-</v>
          </cell>
          <cell r="P41" t="str">
            <v>L. PLOERMEL 4</v>
          </cell>
          <cell r="Q41">
            <v>8</v>
          </cell>
          <cell r="R41">
            <v>6</v>
          </cell>
          <cell r="T41" t="str">
            <v>MUZILLAC TT 2</v>
          </cell>
          <cell r="U41" t="str">
            <v>-</v>
          </cell>
          <cell r="V41" t="str">
            <v>SENE TT 2</v>
          </cell>
          <cell r="W41">
            <v>6</v>
          </cell>
          <cell r="X41">
            <v>8</v>
          </cell>
          <cell r="Z41" t="str">
            <v>AO ST-NOLFF 2</v>
          </cell>
          <cell r="AA41" t="str">
            <v>-</v>
          </cell>
          <cell r="AB41" t="str">
            <v>CTT MENIMUR 5</v>
          </cell>
          <cell r="AC41">
            <v>4</v>
          </cell>
          <cell r="AD41">
            <v>10</v>
          </cell>
          <cell r="AF41" t="str">
            <v>AO ST-NOLFF 3</v>
          </cell>
          <cell r="AG41" t="str">
            <v>-</v>
          </cell>
          <cell r="AH41" t="str">
            <v>RM PLUMELEC 2</v>
          </cell>
          <cell r="AI41">
            <v>13</v>
          </cell>
          <cell r="AJ41">
            <v>1</v>
          </cell>
        </row>
        <row r="42">
          <cell r="B42" t="str">
            <v>RENNES TA 2</v>
          </cell>
          <cell r="C42" t="str">
            <v>-</v>
          </cell>
          <cell r="D42" t="str">
            <v>GV HENNEBONT 7</v>
          </cell>
          <cell r="E42">
            <v>6</v>
          </cell>
          <cell r="F42">
            <v>8</v>
          </cell>
          <cell r="H42" t="str">
            <v>ES PLESCOP TT 5</v>
          </cell>
          <cell r="I42" t="str">
            <v>-</v>
          </cell>
          <cell r="J42" t="str">
            <v>CTT MENIMUR 3</v>
          </cell>
          <cell r="K42">
            <v>9</v>
          </cell>
          <cell r="L42">
            <v>5</v>
          </cell>
          <cell r="N42" t="str">
            <v>ARGOET STT 1</v>
          </cell>
          <cell r="O42" t="str">
            <v>-</v>
          </cell>
          <cell r="P42" t="str">
            <v>MUZILLAC TT 3</v>
          </cell>
          <cell r="Q42">
            <v>3</v>
          </cell>
          <cell r="R42">
            <v>11</v>
          </cell>
          <cell r="T42" t="str">
            <v>ES PLESCOP TT 5</v>
          </cell>
          <cell r="U42" t="str">
            <v>-</v>
          </cell>
          <cell r="V42" t="str">
            <v>CTT MENIMUR 3</v>
          </cell>
          <cell r="W42">
            <v>9</v>
          </cell>
          <cell r="X42">
            <v>5</v>
          </cell>
          <cell r="Z42" t="str">
            <v>MUZILLAC TT 5</v>
          </cell>
          <cell r="AA42" t="str">
            <v>-</v>
          </cell>
          <cell r="AB42" t="str">
            <v>ASPTT VANNES 5</v>
          </cell>
          <cell r="AC42">
            <v>3</v>
          </cell>
          <cell r="AD42">
            <v>11</v>
          </cell>
          <cell r="AF42" t="str">
            <v>Exempt</v>
          </cell>
          <cell r="AG42" t="str">
            <v>-</v>
          </cell>
          <cell r="AH42" t="str">
            <v>BO QUESTEMBERT 4</v>
          </cell>
          <cell r="AI42" t="str">
            <v>e</v>
          </cell>
          <cell r="AJ42" t="str">
            <v>e</v>
          </cell>
        </row>
        <row r="43">
          <cell r="B43" t="str">
            <v>TT PORDIC 1</v>
          </cell>
          <cell r="C43" t="str">
            <v>-</v>
          </cell>
          <cell r="D43" t="str">
            <v>AJK VANNES 2</v>
          </cell>
          <cell r="E43">
            <v>2</v>
          </cell>
          <cell r="F43">
            <v>12</v>
          </cell>
          <cell r="H43" t="str">
            <v>BO QUESTEMBERT 1</v>
          </cell>
          <cell r="I43" t="str">
            <v>-</v>
          </cell>
          <cell r="J43" t="str">
            <v>TT RHUYS 1</v>
          </cell>
          <cell r="K43">
            <v>10</v>
          </cell>
          <cell r="L43">
            <v>4</v>
          </cell>
          <cell r="N43" t="str">
            <v>CTT MENIMUR 4</v>
          </cell>
          <cell r="O43" t="str">
            <v>-</v>
          </cell>
          <cell r="P43" t="str">
            <v>TT PAYS LOCMINE 1</v>
          </cell>
          <cell r="Q43">
            <v>6</v>
          </cell>
          <cell r="R43">
            <v>8</v>
          </cell>
          <cell r="T43" t="str">
            <v>BO QUESTEMBERT 1</v>
          </cell>
          <cell r="U43" t="str">
            <v>-</v>
          </cell>
          <cell r="V43" t="str">
            <v>TT RHUYS 1</v>
          </cell>
          <cell r="W43">
            <v>10</v>
          </cell>
          <cell r="X43">
            <v>5</v>
          </cell>
          <cell r="Z43" t="str">
            <v>Exempt</v>
          </cell>
          <cell r="AA43" t="str">
            <v>-</v>
          </cell>
          <cell r="AB43" t="str">
            <v>TT RHUYS 2</v>
          </cell>
          <cell r="AC43" t="str">
            <v>e</v>
          </cell>
          <cell r="AD43" t="str">
            <v>e</v>
          </cell>
          <cell r="AF43" t="str">
            <v>L. PLOERMEL 7</v>
          </cell>
          <cell r="AG43" t="str">
            <v>-</v>
          </cell>
          <cell r="AH43" t="str">
            <v>ST-JEAN BREVELA 2</v>
          </cell>
          <cell r="AI43">
            <v>6</v>
          </cell>
          <cell r="AJ43">
            <v>8</v>
          </cell>
        </row>
        <row r="44">
          <cell r="B44" t="str">
            <v>TT PLEMET/PLUMIEUX1</v>
          </cell>
          <cell r="C44" t="str">
            <v>-</v>
          </cell>
          <cell r="D44" t="str">
            <v>AURORE VITRE TT 2</v>
          </cell>
          <cell r="E44">
            <v>10</v>
          </cell>
          <cell r="F44">
            <v>4</v>
          </cell>
          <cell r="H44" t="str">
            <v>MUZILLAC TT 4</v>
          </cell>
          <cell r="I44" t="str">
            <v>-</v>
          </cell>
          <cell r="J44" t="str">
            <v>ASPTT VANNES 4</v>
          </cell>
          <cell r="K44">
            <v>7</v>
          </cell>
          <cell r="L44">
            <v>7</v>
          </cell>
          <cell r="N44" t="str">
            <v>US ST-ABRAHAM 2</v>
          </cell>
          <cell r="O44" t="str">
            <v>-</v>
          </cell>
          <cell r="P44" t="str">
            <v>BO QUESTEMBERT 2</v>
          </cell>
          <cell r="Q44">
            <v>8</v>
          </cell>
          <cell r="R44">
            <v>6</v>
          </cell>
          <cell r="T44" t="str">
            <v>MUZILLAC TT 4</v>
          </cell>
          <cell r="U44" t="str">
            <v>-</v>
          </cell>
          <cell r="V44" t="str">
            <v>ASPTT VANNES 4</v>
          </cell>
          <cell r="W44">
            <v>7</v>
          </cell>
          <cell r="X44">
            <v>7</v>
          </cell>
          <cell r="Z44" t="str">
            <v>BAUD TT 1</v>
          </cell>
          <cell r="AA44" t="str">
            <v>-</v>
          </cell>
          <cell r="AB44" t="str">
            <v>PLUNERET/MERIAD 3</v>
          </cell>
          <cell r="AC44">
            <v>10</v>
          </cell>
          <cell r="AD44">
            <v>4</v>
          </cell>
          <cell r="AF44" t="str">
            <v>ARGOET STT 4</v>
          </cell>
          <cell r="AG44" t="str">
            <v>-</v>
          </cell>
          <cell r="AH44" t="str">
            <v>MUZILLAC TT 6</v>
          </cell>
          <cell r="AI44">
            <v>4</v>
          </cell>
          <cell r="AJ44">
            <v>10</v>
          </cell>
        </row>
        <row r="45">
          <cell r="D45" t="str">
            <v>7 ILES PERROS 3</v>
          </cell>
          <cell r="E45" t="str">
            <v>7 ILES PERROS 3</v>
          </cell>
          <cell r="F45" t="str">
            <v>reçoit</v>
          </cell>
          <cell r="J45" t="str">
            <v>SENE TT 2</v>
          </cell>
          <cell r="L45" t="str">
            <v>reçoit</v>
          </cell>
          <cell r="P45" t="str">
            <v>ARGOET STT 1</v>
          </cell>
          <cell r="R45" t="str">
            <v>va à</v>
          </cell>
          <cell r="V45" t="str">
            <v>ASPTT VANNES 4</v>
          </cell>
          <cell r="X45" t="str">
            <v>reçoit</v>
          </cell>
          <cell r="AB45" t="str">
            <v>ASPTT VANNES 5</v>
          </cell>
          <cell r="AD45" t="str">
            <v>reçoit</v>
          </cell>
          <cell r="AH45" t="str">
            <v>ARGOET STT 4</v>
          </cell>
          <cell r="AJ45" t="str">
            <v>va à</v>
          </cell>
        </row>
        <row r="46">
          <cell r="B46" t="str">
            <v>MTT 1:</v>
          </cell>
          <cell r="D46" t="str">
            <v>R2</v>
          </cell>
          <cell r="H46" t="str">
            <v>MTT 2:</v>
          </cell>
          <cell r="J46" t="str">
            <v>D1</v>
          </cell>
          <cell r="N46" t="str">
            <v>MTT 3:</v>
          </cell>
          <cell r="P46" t="str">
            <v>D2</v>
          </cell>
          <cell r="T46" t="str">
            <v>MTT 4:</v>
          </cell>
          <cell r="V46" t="str">
            <v>D2</v>
          </cell>
          <cell r="Z46" t="str">
            <v>MTT 5:</v>
          </cell>
          <cell r="AB46" t="str">
            <v>D3</v>
          </cell>
          <cell r="AF46" t="str">
            <v>MTT 6:</v>
          </cell>
          <cell r="AH46" t="str">
            <v>D3</v>
          </cell>
        </row>
        <row r="47">
          <cell r="B47" t="str">
            <v>Journée n° 8</v>
          </cell>
          <cell r="E47" t="str">
            <v>7 ILES PERROS 3</v>
          </cell>
          <cell r="F47" t="str">
            <v>reçoit</v>
          </cell>
          <cell r="J47" t="str">
            <v>SENE TT 2</v>
          </cell>
          <cell r="L47" t="str">
            <v>reçoit</v>
          </cell>
          <cell r="N47" t="str">
            <v>Journée n° 8</v>
          </cell>
          <cell r="P47" t="str">
            <v>ARGOET STT 1</v>
          </cell>
          <cell r="R47" t="str">
            <v>va à</v>
          </cell>
          <cell r="V47" t="str">
            <v>ASPTT VANNES 4</v>
          </cell>
          <cell r="X47" t="str">
            <v>reçoit</v>
          </cell>
          <cell r="Z47" t="str">
            <v>Journée n° 8</v>
          </cell>
          <cell r="AB47">
            <v>42020</v>
          </cell>
          <cell r="AC47" t="str">
            <v>ASPTT VANNES 5</v>
          </cell>
          <cell r="AD47" t="str">
            <v>va à</v>
          </cell>
          <cell r="AH47">
            <v>0</v>
          </cell>
          <cell r="AJ47" t="str">
            <v>va à</v>
          </cell>
        </row>
        <row r="48">
          <cell r="B48">
            <v>42020</v>
          </cell>
          <cell r="D48" t="str">
            <v/>
          </cell>
          <cell r="E48">
            <v>14</v>
          </cell>
          <cell r="F48" t="str">
            <v>Vict 14 - 0</v>
          </cell>
          <cell r="J48" t="str">
            <v/>
          </cell>
          <cell r="K48">
            <v>11</v>
          </cell>
          <cell r="L48" t="str">
            <v>Vict 11 - 3</v>
          </cell>
          <cell r="P48" t="str">
            <v/>
          </cell>
          <cell r="Q48">
            <v>9</v>
          </cell>
          <cell r="R48" t="str">
            <v>Vict 9 - 5</v>
          </cell>
          <cell r="V48" t="str">
            <v/>
          </cell>
          <cell r="W48">
            <v>9</v>
          </cell>
          <cell r="X48" t="str">
            <v>Vict 9 - 5</v>
          </cell>
          <cell r="AB48" t="str">
            <v/>
          </cell>
          <cell r="AC48">
            <v>13</v>
          </cell>
          <cell r="AD48" t="str">
            <v>Vict 13 - 1</v>
          </cell>
          <cell r="AH48" t="str">
            <v/>
          </cell>
          <cell r="AI48">
            <v>11</v>
          </cell>
          <cell r="AJ48" t="str">
            <v>Vict 11 - 3</v>
          </cell>
        </row>
        <row r="49">
          <cell r="B49" t="str">
            <v>RENNES TA 3</v>
          </cell>
          <cell r="C49" t="str">
            <v>-</v>
          </cell>
          <cell r="D49" t="str">
            <v>TT LA BAIE YFFINIAC 1</v>
          </cell>
          <cell r="E49">
            <v>7</v>
          </cell>
          <cell r="F49">
            <v>7</v>
          </cell>
          <cell r="H49" t="str">
            <v>AJK VANNES 4</v>
          </cell>
          <cell r="I49" t="str">
            <v>-</v>
          </cell>
          <cell r="J49" t="str">
            <v>L. PLOERMEL 3</v>
          </cell>
          <cell r="K49">
            <v>9</v>
          </cell>
          <cell r="L49">
            <v>5</v>
          </cell>
          <cell r="N49" t="str">
            <v>ASPTT VANNES 6</v>
          </cell>
          <cell r="O49" t="str">
            <v>-</v>
          </cell>
          <cell r="P49" t="str">
            <v>BO QUESTEMBERT 1</v>
          </cell>
          <cell r="Q49">
            <v>0</v>
          </cell>
          <cell r="R49">
            <v>14</v>
          </cell>
          <cell r="T49" t="str">
            <v>US ST-ABRAHAM 2</v>
          </cell>
          <cell r="U49" t="str">
            <v>-</v>
          </cell>
          <cell r="V49" t="str">
            <v>AO ST-NOLFF 1</v>
          </cell>
          <cell r="W49">
            <v>10</v>
          </cell>
          <cell r="X49">
            <v>4</v>
          </cell>
          <cell r="Z49" t="str">
            <v>BAUD TT 1</v>
          </cell>
          <cell r="AA49" t="str">
            <v>-</v>
          </cell>
          <cell r="AB49" t="str">
            <v>ES ST-AVE 2</v>
          </cell>
          <cell r="AC49">
            <v>10</v>
          </cell>
          <cell r="AD49">
            <v>4</v>
          </cell>
          <cell r="AF49" t="str">
            <v>CTT MENIMUR 6</v>
          </cell>
          <cell r="AG49" t="str">
            <v>-</v>
          </cell>
          <cell r="AH49" t="str">
            <v>JA PLEUCADEUC 3</v>
          </cell>
          <cell r="AI49">
            <v>11</v>
          </cell>
          <cell r="AJ49">
            <v>3</v>
          </cell>
        </row>
        <row r="50">
          <cell r="B50" t="str">
            <v>AC PLERIN 3</v>
          </cell>
          <cell r="C50" t="str">
            <v>-</v>
          </cell>
          <cell r="D50" t="str">
            <v>RENNES AVENIR 4</v>
          </cell>
          <cell r="E50">
            <v>11</v>
          </cell>
          <cell r="F50">
            <v>3</v>
          </cell>
          <cell r="H50" t="str">
            <v>US ST-ABRAHAM 1</v>
          </cell>
          <cell r="I50" t="str">
            <v>-</v>
          </cell>
          <cell r="J50" t="str">
            <v>MUZILLAC TT 2</v>
          </cell>
          <cell r="K50">
            <v>3</v>
          </cell>
          <cell r="L50">
            <v>11</v>
          </cell>
          <cell r="N50" t="str">
            <v>ARGOET STT 1</v>
          </cell>
          <cell r="O50" t="str">
            <v>-</v>
          </cell>
          <cell r="P50" t="str">
            <v>MUZILLAC TT 3</v>
          </cell>
          <cell r="Q50">
            <v>5</v>
          </cell>
          <cell r="R50">
            <v>9</v>
          </cell>
          <cell r="T50" t="str">
            <v>ES PLESCOP TT 5</v>
          </cell>
          <cell r="U50" t="str">
            <v>-</v>
          </cell>
          <cell r="V50" t="str">
            <v>RAQ GUEGON 1</v>
          </cell>
          <cell r="W50">
            <v>10</v>
          </cell>
          <cell r="X50">
            <v>4</v>
          </cell>
          <cell r="Z50" t="str">
            <v>MUZILLAC TT 5</v>
          </cell>
          <cell r="AA50" t="str">
            <v>-</v>
          </cell>
          <cell r="AB50" t="str">
            <v>CTT MENIMUR 5</v>
          </cell>
          <cell r="AC50">
            <v>13</v>
          </cell>
          <cell r="AD50">
            <v>1</v>
          </cell>
          <cell r="AF50" t="str">
            <v>ARGOET STT 2</v>
          </cell>
          <cell r="AG50" t="str">
            <v>-</v>
          </cell>
          <cell r="AH50" t="str">
            <v>FC ST-RAOUL 2</v>
          </cell>
          <cell r="AI50">
            <v>8</v>
          </cell>
          <cell r="AJ50">
            <v>6</v>
          </cell>
        </row>
        <row r="51">
          <cell r="B51" t="str">
            <v>LE FOLGOET/LESNEVEN 1</v>
          </cell>
          <cell r="C51" t="str">
            <v>-</v>
          </cell>
          <cell r="D51" t="str">
            <v>RP FOUESNANT 5</v>
          </cell>
          <cell r="E51">
            <v>8</v>
          </cell>
          <cell r="F51">
            <v>6</v>
          </cell>
          <cell r="H51" t="str">
            <v>SENE TT 2</v>
          </cell>
          <cell r="I51" t="str">
            <v>-</v>
          </cell>
          <cell r="J51" t="str">
            <v>ASPTT VANNES 3</v>
          </cell>
          <cell r="K51">
            <v>11</v>
          </cell>
          <cell r="L51">
            <v>3</v>
          </cell>
          <cell r="N51" t="str">
            <v>JA PLEUCADEUC 1</v>
          </cell>
          <cell r="O51" t="str">
            <v>-</v>
          </cell>
          <cell r="P51" t="str">
            <v>CTT MENIMUR 3</v>
          </cell>
          <cell r="Q51">
            <v>3</v>
          </cell>
          <cell r="R51">
            <v>11</v>
          </cell>
          <cell r="T51" t="str">
            <v>MUZILLAC TT 4</v>
          </cell>
          <cell r="U51" t="str">
            <v>-</v>
          </cell>
          <cell r="V51" t="str">
            <v>L. PLOERMEL 4</v>
          </cell>
          <cell r="W51">
            <v>9</v>
          </cell>
          <cell r="X51">
            <v>5</v>
          </cell>
          <cell r="Z51" t="str">
            <v>CTT MENIMUR 4</v>
          </cell>
          <cell r="AA51" t="str">
            <v>-</v>
          </cell>
          <cell r="AB51" t="str">
            <v>TT RHUYS 1</v>
          </cell>
          <cell r="AC51">
            <v>9</v>
          </cell>
          <cell r="AD51">
            <v>5</v>
          </cell>
          <cell r="AF51" t="str">
            <v>SENE TT 3</v>
          </cell>
          <cell r="AG51" t="str">
            <v>-</v>
          </cell>
          <cell r="AH51" t="str">
            <v>RAQ PEILLAC 1</v>
          </cell>
          <cell r="AI51">
            <v>13</v>
          </cell>
          <cell r="AJ51">
            <v>1</v>
          </cell>
        </row>
        <row r="52">
          <cell r="B52" t="str">
            <v>MUZILLAC TT 1</v>
          </cell>
          <cell r="C52" t="str">
            <v>-</v>
          </cell>
          <cell r="D52" t="str">
            <v>CPB RENNES RAPATEL 2</v>
          </cell>
          <cell r="E52">
            <v>14</v>
          </cell>
          <cell r="F52">
            <v>0</v>
          </cell>
          <cell r="H52" t="str">
            <v>PLUNERET/MERIAD 1</v>
          </cell>
          <cell r="I52" t="str">
            <v>-</v>
          </cell>
          <cell r="J52" t="str">
            <v>CTT MENIMUR 2</v>
          </cell>
          <cell r="K52">
            <v>8</v>
          </cell>
          <cell r="L52">
            <v>6</v>
          </cell>
          <cell r="N52" t="str">
            <v>FC ST-RAOUL 1</v>
          </cell>
          <cell r="O52" t="str">
            <v>-</v>
          </cell>
          <cell r="P52" t="str">
            <v>TT PAYS LOCMINE 1</v>
          </cell>
          <cell r="Q52">
            <v>5</v>
          </cell>
          <cell r="R52">
            <v>9</v>
          </cell>
          <cell r="T52" t="str">
            <v>BO QUESTEMBERT 2</v>
          </cell>
          <cell r="U52" t="str">
            <v>-</v>
          </cell>
          <cell r="V52" t="str">
            <v>ASPTT VANNES 4</v>
          </cell>
          <cell r="W52">
            <v>9</v>
          </cell>
          <cell r="X52">
            <v>5</v>
          </cell>
          <cell r="Z52" t="str">
            <v>PLUNERET/MERIAD 3</v>
          </cell>
          <cell r="AA52" t="str">
            <v>-</v>
          </cell>
          <cell r="AB52" t="str">
            <v>TT RHUYS 2</v>
          </cell>
          <cell r="AC52">
            <v>4</v>
          </cell>
          <cell r="AD52">
            <v>10</v>
          </cell>
          <cell r="AF52" t="str">
            <v>ES ST-AVE 1</v>
          </cell>
          <cell r="AG52" t="str">
            <v>-</v>
          </cell>
          <cell r="AH52" t="str">
            <v>MUZILLAC TT 6</v>
          </cell>
          <cell r="AI52">
            <v>3</v>
          </cell>
          <cell r="AJ52">
            <v>11</v>
          </cell>
        </row>
        <row r="53">
          <cell r="B53" t="str">
            <v>Journée n° 9</v>
          </cell>
          <cell r="D53" t="str">
            <v>CPB RENNES RAPATEL 2</v>
          </cell>
          <cell r="F53" t="str">
            <v>reçoit</v>
          </cell>
          <cell r="J53" t="str">
            <v>US ST-ABRAHAM 1</v>
          </cell>
          <cell r="L53" t="str">
            <v>va à</v>
          </cell>
          <cell r="N53" t="str">
            <v>Journée n° 9</v>
          </cell>
          <cell r="P53" t="str">
            <v>ARGOET STT 1</v>
          </cell>
          <cell r="R53" t="str">
            <v>va à</v>
          </cell>
          <cell r="V53" t="str">
            <v>L. PLOERMEL 4</v>
          </cell>
          <cell r="X53" t="str">
            <v>reçoit</v>
          </cell>
          <cell r="Z53" t="str">
            <v>Journée n° 9</v>
          </cell>
          <cell r="AB53" t="str">
            <v>CTT MENIMUR 5</v>
          </cell>
          <cell r="AC53" t="str">
            <v>CTT MENIMUR 5</v>
          </cell>
          <cell r="AD53" t="str">
            <v>reçoit</v>
          </cell>
          <cell r="AH53" t="str">
            <v>ES ST-AVE 1</v>
          </cell>
          <cell r="AI53" t="str">
            <v>ES ST-AVE 1</v>
          </cell>
          <cell r="AJ53" t="str">
            <v>va à</v>
          </cell>
        </row>
        <row r="54">
          <cell r="B54">
            <v>42034</v>
          </cell>
          <cell r="D54" t="str">
            <v/>
          </cell>
          <cell r="E54">
            <v>9</v>
          </cell>
          <cell r="F54" t="str">
            <v>Vict 9 - 5</v>
          </cell>
          <cell r="J54" t="str">
            <v/>
          </cell>
          <cell r="K54">
            <v>10</v>
          </cell>
          <cell r="L54" t="str">
            <v>Vict 10 - 4</v>
          </cell>
          <cell r="P54" t="str">
            <v/>
          </cell>
          <cell r="Q54">
            <v>6</v>
          </cell>
          <cell r="R54" t="str">
            <v>Déf 8 - 6</v>
          </cell>
          <cell r="V54" t="str">
            <v/>
          </cell>
          <cell r="W54">
            <v>6</v>
          </cell>
          <cell r="X54" t="str">
            <v>Déf 8 - 6</v>
          </cell>
          <cell r="AB54" t="str">
            <v/>
          </cell>
          <cell r="AC54">
            <v>5</v>
          </cell>
          <cell r="AD54" t="str">
            <v>Déf 9 - 5</v>
          </cell>
          <cell r="AH54" t="str">
            <v/>
          </cell>
          <cell r="AI54">
            <v>10</v>
          </cell>
          <cell r="AJ54" t="str">
            <v>Vict 10 - 4</v>
          </cell>
        </row>
        <row r="55">
          <cell r="B55" t="str">
            <v>RENNES AVENIR 4</v>
          </cell>
          <cell r="C55" t="str">
            <v>-</v>
          </cell>
          <cell r="D55" t="str">
            <v>RENNES TA 3</v>
          </cell>
          <cell r="E55">
            <v>7</v>
          </cell>
          <cell r="F55">
            <v>7</v>
          </cell>
          <cell r="H55" t="str">
            <v>L. PLOERMEL 3</v>
          </cell>
          <cell r="I55" t="str">
            <v>-</v>
          </cell>
          <cell r="J55" t="str">
            <v>US ST-ABRAHAM 1</v>
          </cell>
          <cell r="K55">
            <v>7</v>
          </cell>
          <cell r="L55">
            <v>7</v>
          </cell>
          <cell r="N55" t="str">
            <v>BO QUESTEMBERT 1</v>
          </cell>
          <cell r="O55" t="str">
            <v>-</v>
          </cell>
          <cell r="P55" t="str">
            <v>ARGOET STT 1</v>
          </cell>
          <cell r="Q55">
            <v>13</v>
          </cell>
          <cell r="R55">
            <v>1</v>
          </cell>
          <cell r="T55" t="str">
            <v>AO ST-NOLFF 1</v>
          </cell>
          <cell r="U55" t="str">
            <v>-</v>
          </cell>
          <cell r="V55" t="str">
            <v>ES PLESCOP TT 5</v>
          </cell>
          <cell r="W55">
            <v>9</v>
          </cell>
          <cell r="X55">
            <v>5</v>
          </cell>
          <cell r="Z55" t="str">
            <v>ES ST-AVE 2</v>
          </cell>
          <cell r="AA55" t="str">
            <v>-</v>
          </cell>
          <cell r="AB55" t="str">
            <v>MUZILLAC TT 5</v>
          </cell>
          <cell r="AC55">
            <v>9</v>
          </cell>
          <cell r="AD55">
            <v>5</v>
          </cell>
          <cell r="AF55" t="str">
            <v>JA PLEUCADEUC 3</v>
          </cell>
          <cell r="AG55" t="str">
            <v>-</v>
          </cell>
          <cell r="AH55" t="str">
            <v>ARGOET STT 2</v>
          </cell>
          <cell r="AI55">
            <v>6</v>
          </cell>
          <cell r="AJ55">
            <v>8</v>
          </cell>
        </row>
        <row r="56">
          <cell r="B56" t="str">
            <v>RP FOUESNANT 5</v>
          </cell>
          <cell r="C56" t="str">
            <v>-</v>
          </cell>
          <cell r="D56" t="str">
            <v>AC PLERIN 3</v>
          </cell>
          <cell r="E56">
            <v>3</v>
          </cell>
          <cell r="F56">
            <v>11</v>
          </cell>
          <cell r="H56" t="str">
            <v>MUZILLAC TT 2</v>
          </cell>
          <cell r="I56" t="str">
            <v>-</v>
          </cell>
          <cell r="J56" t="str">
            <v>SENE TT 2</v>
          </cell>
          <cell r="K56">
            <v>10</v>
          </cell>
          <cell r="L56">
            <v>4</v>
          </cell>
          <cell r="N56" t="str">
            <v>MUZILLAC TT 3</v>
          </cell>
          <cell r="O56" t="str">
            <v>-</v>
          </cell>
          <cell r="P56" t="str">
            <v>JA PLEUCADEUC 1</v>
          </cell>
          <cell r="Q56">
            <v>6</v>
          </cell>
          <cell r="R56">
            <v>8</v>
          </cell>
          <cell r="T56" t="str">
            <v>RAQ GUEGON 1</v>
          </cell>
          <cell r="U56" t="str">
            <v>-</v>
          </cell>
          <cell r="V56" t="str">
            <v>MUZILLAC TT 4</v>
          </cell>
          <cell r="W56">
            <v>8</v>
          </cell>
          <cell r="X56">
            <v>6</v>
          </cell>
          <cell r="Z56" t="str">
            <v>CTT MENIMUR 5</v>
          </cell>
          <cell r="AA56" t="str">
            <v>-</v>
          </cell>
          <cell r="AB56" t="str">
            <v>CTT MENIMUR 4</v>
          </cell>
          <cell r="AC56">
            <v>9</v>
          </cell>
          <cell r="AD56">
            <v>5</v>
          </cell>
          <cell r="AF56" t="str">
            <v>FC ST-RAOUL 2</v>
          </cell>
          <cell r="AG56" t="str">
            <v>-</v>
          </cell>
          <cell r="AH56" t="str">
            <v>SENE TT 3</v>
          </cell>
          <cell r="AI56">
            <v>5</v>
          </cell>
          <cell r="AJ56">
            <v>9</v>
          </cell>
        </row>
        <row r="57">
          <cell r="B57" t="str">
            <v>CPB RENNES RAPATEL 2</v>
          </cell>
          <cell r="C57" t="str">
            <v>-</v>
          </cell>
          <cell r="D57" t="str">
            <v>LE FOLGOET/LESNEVEN 1</v>
          </cell>
          <cell r="E57">
            <v>6</v>
          </cell>
          <cell r="F57">
            <v>8</v>
          </cell>
          <cell r="H57" t="str">
            <v>ASPTT VANNES 3</v>
          </cell>
          <cell r="I57" t="str">
            <v>-</v>
          </cell>
          <cell r="J57" t="str">
            <v>PLUNERET/MERIAD 1</v>
          </cell>
          <cell r="K57">
            <v>10</v>
          </cell>
          <cell r="L57">
            <v>4</v>
          </cell>
          <cell r="N57" t="str">
            <v>CTT MENIMUR 3</v>
          </cell>
          <cell r="O57" t="str">
            <v>-</v>
          </cell>
          <cell r="P57" t="str">
            <v>FC ST-RAOUL 1</v>
          </cell>
          <cell r="Q57">
            <v>11</v>
          </cell>
          <cell r="R57">
            <v>3</v>
          </cell>
          <cell r="T57" t="str">
            <v>L. PLOERMEL 4</v>
          </cell>
          <cell r="U57" t="str">
            <v>-</v>
          </cell>
          <cell r="V57" t="str">
            <v>BO QUESTEMBERT 2</v>
          </cell>
          <cell r="W57">
            <v>10</v>
          </cell>
          <cell r="X57">
            <v>4</v>
          </cell>
          <cell r="Z57" t="str">
            <v>TT RHUYS 1</v>
          </cell>
          <cell r="AA57" t="str">
            <v>-</v>
          </cell>
          <cell r="AB57" t="str">
            <v>PLUNERET/MERIAD 3</v>
          </cell>
          <cell r="AC57">
            <v>8</v>
          </cell>
          <cell r="AD57">
            <v>6</v>
          </cell>
          <cell r="AF57" t="str">
            <v>RAQ PEILLAC 1</v>
          </cell>
          <cell r="AG57" t="str">
            <v>-</v>
          </cell>
          <cell r="AH57" t="str">
            <v>ES ST-AVE 1</v>
          </cell>
          <cell r="AI57">
            <v>9</v>
          </cell>
          <cell r="AJ57">
            <v>5</v>
          </cell>
        </row>
        <row r="58">
          <cell r="B58" t="str">
            <v>TT LA BAIE YFFINIAC 1</v>
          </cell>
          <cell r="C58" t="str">
            <v>-</v>
          </cell>
          <cell r="D58" t="str">
            <v>MUZILLAC TT 1</v>
          </cell>
          <cell r="E58">
            <v>5</v>
          </cell>
          <cell r="F58">
            <v>9</v>
          </cell>
          <cell r="H58" t="str">
            <v>CTT MENIMUR 2</v>
          </cell>
          <cell r="I58" t="str">
            <v>-</v>
          </cell>
          <cell r="J58" t="str">
            <v>AJK VANNES 4</v>
          </cell>
          <cell r="K58">
            <v>3</v>
          </cell>
          <cell r="L58">
            <v>11</v>
          </cell>
          <cell r="N58" t="str">
            <v>TT PAYS LOCMINE 1</v>
          </cell>
          <cell r="O58" t="str">
            <v>-</v>
          </cell>
          <cell r="P58" t="str">
            <v>ASPTT VANNES 6</v>
          </cell>
          <cell r="Q58">
            <v>11</v>
          </cell>
          <cell r="R58">
            <v>3</v>
          </cell>
          <cell r="T58" t="str">
            <v>ASPTT VANNES 4</v>
          </cell>
          <cell r="U58" t="str">
            <v>-</v>
          </cell>
          <cell r="V58" t="str">
            <v>US ST-ABRAHAM 2</v>
          </cell>
          <cell r="W58">
            <v>10</v>
          </cell>
          <cell r="X58">
            <v>4</v>
          </cell>
          <cell r="Z58" t="str">
            <v>TT RHUYS 2</v>
          </cell>
          <cell r="AA58" t="str">
            <v>-</v>
          </cell>
          <cell r="AB58" t="str">
            <v>BAUD TT 1</v>
          </cell>
          <cell r="AC58">
            <v>6</v>
          </cell>
          <cell r="AD58">
            <v>8</v>
          </cell>
          <cell r="AF58" t="str">
            <v>MUZILLAC TT 6</v>
          </cell>
          <cell r="AG58" t="str">
            <v>-</v>
          </cell>
          <cell r="AH58" t="str">
            <v>CTT MENIMUR 6</v>
          </cell>
          <cell r="AI58">
            <v>10</v>
          </cell>
          <cell r="AJ58">
            <v>4</v>
          </cell>
        </row>
        <row r="59">
          <cell r="B59" t="str">
            <v>Journée n° 10</v>
          </cell>
          <cell r="D59" t="str">
            <v>TT LA BAIE YFFINIAC 1</v>
          </cell>
          <cell r="F59" t="str">
            <v>va à</v>
          </cell>
          <cell r="J59" t="str">
            <v>SENE TT 2</v>
          </cell>
          <cell r="L59" t="str">
            <v>reçoit</v>
          </cell>
          <cell r="N59" t="str">
            <v>Journée n° 10</v>
          </cell>
          <cell r="P59" t="str">
            <v>JA PLEUCADEUC 1</v>
          </cell>
          <cell r="R59" t="str">
            <v>reçoit</v>
          </cell>
          <cell r="V59" t="str">
            <v>RAQ GUEGON 1</v>
          </cell>
          <cell r="X59" t="str">
            <v>va à</v>
          </cell>
          <cell r="Z59" t="str">
            <v>Journée n° 10</v>
          </cell>
          <cell r="AB59" t="str">
            <v>ES ST-AVE 2</v>
          </cell>
          <cell r="AC59" t="str">
            <v>ES ST-AVE 2</v>
          </cell>
          <cell r="AD59" t="str">
            <v>va à</v>
          </cell>
          <cell r="AH59" t="str">
            <v>CTT MENIMUR 6</v>
          </cell>
          <cell r="AI59" t="str">
            <v>CTT MENIMUR 6</v>
          </cell>
          <cell r="AJ59" t="str">
            <v>reçoit</v>
          </cell>
        </row>
        <row r="60">
          <cell r="B60">
            <v>42041</v>
          </cell>
          <cell r="D60" t="str">
            <v/>
          </cell>
          <cell r="E60">
            <v>10</v>
          </cell>
          <cell r="F60" t="str">
            <v>Vict 10 - 4</v>
          </cell>
          <cell r="J60" t="str">
            <v/>
          </cell>
          <cell r="K60">
            <v>10</v>
          </cell>
          <cell r="L60" t="str">
            <v>Vict 10 - 4</v>
          </cell>
          <cell r="P60" t="str">
            <v/>
          </cell>
          <cell r="Q60">
            <v>9</v>
          </cell>
          <cell r="R60" t="str">
            <v>Vict 9 - 5</v>
          </cell>
          <cell r="V60" t="str">
            <v/>
          </cell>
          <cell r="W60">
            <v>12</v>
          </cell>
          <cell r="X60" t="str">
            <v>Vict 12 - 2</v>
          </cell>
          <cell r="AB60" t="str">
            <v/>
          </cell>
          <cell r="AC60">
            <v>3</v>
          </cell>
          <cell r="AD60" t="str">
            <v>Déf 11 - 3</v>
          </cell>
          <cell r="AH60" t="str">
            <v/>
          </cell>
          <cell r="AI60">
            <v>11</v>
          </cell>
          <cell r="AJ60" t="str">
            <v>Vict 11 - 3</v>
          </cell>
        </row>
        <row r="61">
          <cell r="B61" t="str">
            <v>RENNES TA 3</v>
          </cell>
          <cell r="C61" t="str">
            <v>-</v>
          </cell>
          <cell r="D61" t="str">
            <v>RP FOUESNANT 5</v>
          </cell>
          <cell r="E61">
            <v>8</v>
          </cell>
          <cell r="F61">
            <v>6</v>
          </cell>
          <cell r="H61" t="str">
            <v>SENE TT 2</v>
          </cell>
          <cell r="I61" t="str">
            <v>-</v>
          </cell>
          <cell r="J61" t="str">
            <v>L. PLOERMEL 3</v>
          </cell>
          <cell r="K61">
            <v>8</v>
          </cell>
          <cell r="L61">
            <v>6</v>
          </cell>
          <cell r="N61" t="str">
            <v>JA PLEUCADEUC 1</v>
          </cell>
          <cell r="O61" t="str">
            <v>-</v>
          </cell>
          <cell r="P61" t="str">
            <v>BO QUESTEMBERT 1</v>
          </cell>
          <cell r="Q61">
            <v>3</v>
          </cell>
          <cell r="R61">
            <v>11</v>
          </cell>
          <cell r="T61" t="str">
            <v>MUZILLAC TT 4</v>
          </cell>
          <cell r="U61" t="str">
            <v>-</v>
          </cell>
          <cell r="V61" t="str">
            <v>AO ST-NOLFF 1</v>
          </cell>
          <cell r="W61">
            <v>12</v>
          </cell>
          <cell r="X61">
            <v>2</v>
          </cell>
          <cell r="Z61" t="str">
            <v>CTT MENIMUR 4</v>
          </cell>
          <cell r="AA61" t="str">
            <v>-</v>
          </cell>
          <cell r="AB61" t="str">
            <v>ES ST-AVE 2</v>
          </cell>
          <cell r="AC61">
            <v>5</v>
          </cell>
          <cell r="AD61">
            <v>9</v>
          </cell>
          <cell r="AF61" t="str">
            <v>SENE TT 3</v>
          </cell>
          <cell r="AG61" t="str">
            <v>-</v>
          </cell>
          <cell r="AH61" t="str">
            <v>JA PLEUCADEUC 3</v>
          </cell>
          <cell r="AI61">
            <v>13</v>
          </cell>
          <cell r="AJ61">
            <v>1</v>
          </cell>
        </row>
        <row r="62">
          <cell r="B62" t="str">
            <v>AC PLERIN 3</v>
          </cell>
          <cell r="C62" t="str">
            <v>-</v>
          </cell>
          <cell r="D62" t="str">
            <v>CPB RENNES RAPATEL 2</v>
          </cell>
          <cell r="E62">
            <v>10</v>
          </cell>
          <cell r="F62">
            <v>4</v>
          </cell>
          <cell r="H62" t="str">
            <v>PLUNERET/MERIAD 1</v>
          </cell>
          <cell r="I62" t="str">
            <v>-</v>
          </cell>
          <cell r="J62" t="str">
            <v>MUZILLAC TT 2</v>
          </cell>
          <cell r="K62">
            <v>4</v>
          </cell>
          <cell r="L62">
            <v>10</v>
          </cell>
          <cell r="N62" t="str">
            <v>FC ST-RAOUL 1</v>
          </cell>
          <cell r="O62" t="str">
            <v>-</v>
          </cell>
          <cell r="P62" t="str">
            <v>MUZILLAC TT 3</v>
          </cell>
          <cell r="Q62">
            <v>5</v>
          </cell>
          <cell r="R62">
            <v>9</v>
          </cell>
          <cell r="T62" t="str">
            <v>BO QUESTEMBERT 2</v>
          </cell>
          <cell r="U62" t="str">
            <v>-</v>
          </cell>
          <cell r="V62" t="str">
            <v>RAQ GUEGON 1</v>
          </cell>
          <cell r="W62">
            <v>12</v>
          </cell>
          <cell r="X62">
            <v>2</v>
          </cell>
          <cell r="Z62" t="str">
            <v>PLUNERET/MERIAD 3</v>
          </cell>
          <cell r="AA62" t="str">
            <v>-</v>
          </cell>
          <cell r="AB62" t="str">
            <v>CTT MENIMUR 5</v>
          </cell>
          <cell r="AC62">
            <v>11</v>
          </cell>
          <cell r="AD62">
            <v>3</v>
          </cell>
          <cell r="AF62" t="str">
            <v>ES ST-AVE 1</v>
          </cell>
          <cell r="AG62" t="str">
            <v>-</v>
          </cell>
          <cell r="AH62" t="str">
            <v>FC ST-RAOUL 2</v>
          </cell>
          <cell r="AI62">
            <v>7</v>
          </cell>
          <cell r="AJ62">
            <v>7</v>
          </cell>
        </row>
        <row r="63">
          <cell r="B63" t="str">
            <v>LE FOLGOET/LESNEVEN 1</v>
          </cell>
          <cell r="C63" t="str">
            <v>-</v>
          </cell>
          <cell r="D63" t="str">
            <v>MUZILLAC TT 1</v>
          </cell>
          <cell r="E63">
            <v>4</v>
          </cell>
          <cell r="F63">
            <v>10</v>
          </cell>
          <cell r="H63" t="str">
            <v>CTT MENIMUR 2</v>
          </cell>
          <cell r="I63" t="str">
            <v>-</v>
          </cell>
          <cell r="J63" t="str">
            <v>ASPTT VANNES 3</v>
          </cell>
          <cell r="K63">
            <v>9</v>
          </cell>
          <cell r="L63">
            <v>5</v>
          </cell>
          <cell r="N63" t="str">
            <v>TT PAYS LOCMINE 1</v>
          </cell>
          <cell r="O63" t="str">
            <v>-</v>
          </cell>
          <cell r="P63" t="str">
            <v>CTT MENIMUR 3</v>
          </cell>
          <cell r="Q63">
            <v>13</v>
          </cell>
          <cell r="R63">
            <v>1</v>
          </cell>
          <cell r="T63" t="str">
            <v>ASPTT VANNES 4</v>
          </cell>
          <cell r="U63" t="str">
            <v>-</v>
          </cell>
          <cell r="V63" t="str">
            <v>L. PLOERMEL 4</v>
          </cell>
          <cell r="W63">
            <v>5</v>
          </cell>
          <cell r="X63">
            <v>9</v>
          </cell>
          <cell r="Z63" t="str">
            <v>TT RHUYS 2</v>
          </cell>
          <cell r="AA63" t="str">
            <v>-</v>
          </cell>
          <cell r="AB63" t="str">
            <v>TT RHUYS 1</v>
          </cell>
          <cell r="AC63">
            <v>9</v>
          </cell>
          <cell r="AD63">
            <v>5</v>
          </cell>
          <cell r="AF63" t="str">
            <v>MUZILLAC TT 6</v>
          </cell>
          <cell r="AG63" t="str">
            <v>-</v>
          </cell>
          <cell r="AH63" t="str">
            <v>RAQ PEILLAC 1</v>
          </cell>
          <cell r="AI63">
            <v>11</v>
          </cell>
          <cell r="AJ63">
            <v>3</v>
          </cell>
        </row>
        <row r="64">
          <cell r="B64" t="str">
            <v>TT LA BAIE YFFINIAC 1</v>
          </cell>
          <cell r="C64" t="str">
            <v>-</v>
          </cell>
          <cell r="D64" t="str">
            <v>RENNES AVENIR 4</v>
          </cell>
          <cell r="E64">
            <v>8</v>
          </cell>
          <cell r="F64">
            <v>6</v>
          </cell>
          <cell r="H64" t="str">
            <v>US ST-ABRAHAM 1</v>
          </cell>
          <cell r="I64" t="str">
            <v>-</v>
          </cell>
          <cell r="J64" t="str">
            <v>AJK VANNES 4</v>
          </cell>
          <cell r="K64">
            <v>3</v>
          </cell>
          <cell r="L64">
            <v>11</v>
          </cell>
          <cell r="N64" t="str">
            <v>ARGOET STT 1</v>
          </cell>
          <cell r="O64" t="str">
            <v>-</v>
          </cell>
          <cell r="P64" t="str">
            <v>ASPTT VANNES 6</v>
          </cell>
          <cell r="Q64">
            <v>12</v>
          </cell>
          <cell r="R64">
            <v>2</v>
          </cell>
          <cell r="T64" t="str">
            <v>ES PLESCOP TT 5</v>
          </cell>
          <cell r="U64" t="str">
            <v>-</v>
          </cell>
          <cell r="V64" t="str">
            <v>US ST-ABRAHAM 2</v>
          </cell>
          <cell r="W64">
            <v>9</v>
          </cell>
          <cell r="X64">
            <v>5</v>
          </cell>
          <cell r="Z64" t="str">
            <v>MUZILLAC TT 5</v>
          </cell>
          <cell r="AA64" t="str">
            <v>-</v>
          </cell>
          <cell r="AB64" t="str">
            <v>BAUD TT 1</v>
          </cell>
          <cell r="AC64">
            <v>3</v>
          </cell>
          <cell r="AD64">
            <v>11</v>
          </cell>
          <cell r="AF64" t="str">
            <v>ARGOET STT 2</v>
          </cell>
          <cell r="AG64" t="str">
            <v>-</v>
          </cell>
          <cell r="AH64" t="str">
            <v>CTT MENIMUR 6</v>
          </cell>
          <cell r="AI64">
            <v>3</v>
          </cell>
          <cell r="AJ64">
            <v>11</v>
          </cell>
        </row>
        <row r="65">
          <cell r="B65" t="str">
            <v>Journée n° 11</v>
          </cell>
          <cell r="D65" t="str">
            <v>LE FOLGOET/LESNEVEN 1</v>
          </cell>
          <cell r="F65" t="str">
            <v>va à</v>
          </cell>
          <cell r="J65" t="str">
            <v>PLUNERET/MERIAD 1</v>
          </cell>
          <cell r="L65" t="str">
            <v>va à</v>
          </cell>
          <cell r="N65" t="str">
            <v>Journée n° 11</v>
          </cell>
          <cell r="P65" t="str">
            <v>FC ST-RAOUL 1</v>
          </cell>
          <cell r="R65" t="str">
            <v>va à</v>
          </cell>
          <cell r="V65" t="str">
            <v>AO ST-NOLFF 1</v>
          </cell>
          <cell r="X65" t="str">
            <v>reçoit</v>
          </cell>
          <cell r="Z65" t="str">
            <v>Journée n° 11</v>
          </cell>
          <cell r="AB65" t="str">
            <v>BAUD TT 1</v>
          </cell>
          <cell r="AC65" t="str">
            <v>BAUD TT 1</v>
          </cell>
          <cell r="AD65" t="str">
            <v>reçoit</v>
          </cell>
          <cell r="AH65" t="str">
            <v>RAQ PEILLAC 1</v>
          </cell>
          <cell r="AJ65" t="str">
            <v>reçoit</v>
          </cell>
        </row>
        <row r="66">
          <cell r="B66">
            <v>42069</v>
          </cell>
          <cell r="D66" t="str">
            <v/>
          </cell>
          <cell r="E66">
            <v>6</v>
          </cell>
          <cell r="F66" t="str">
            <v>Déf 8 - 6</v>
          </cell>
          <cell r="J66" t="str">
            <v/>
          </cell>
          <cell r="K66">
            <v>7</v>
          </cell>
          <cell r="L66" t="str">
            <v>Nul 7 - 7</v>
          </cell>
          <cell r="P66" t="str">
            <v/>
          </cell>
          <cell r="Q66">
            <v>4</v>
          </cell>
          <cell r="R66" t="str">
            <v>Déf 10 - 4</v>
          </cell>
          <cell r="V66" t="str">
            <v/>
          </cell>
          <cell r="W66">
            <v>5</v>
          </cell>
          <cell r="X66" t="str">
            <v>Déf 9 - 5</v>
          </cell>
          <cell r="AB66" t="str">
            <v/>
          </cell>
          <cell r="AC66">
            <v>11</v>
          </cell>
          <cell r="AD66" t="str">
            <v>Vict 11 - 3</v>
          </cell>
          <cell r="AH66" t="str">
            <v/>
          </cell>
          <cell r="AI66">
            <v>7</v>
          </cell>
          <cell r="AJ66" t="str">
            <v>Nul 7 - 7</v>
          </cell>
        </row>
        <row r="67">
          <cell r="B67" t="str">
            <v>CPB RENNES RAPATEL 2</v>
          </cell>
          <cell r="C67" t="str">
            <v>-</v>
          </cell>
          <cell r="D67" t="str">
            <v>RENNES TA 3</v>
          </cell>
          <cell r="E67">
            <v>4</v>
          </cell>
          <cell r="F67">
            <v>10</v>
          </cell>
          <cell r="H67" t="str">
            <v>L. PLOERMEL 3</v>
          </cell>
          <cell r="I67" t="str">
            <v>-</v>
          </cell>
          <cell r="J67" t="str">
            <v>PLUNERET/MERIAD 1</v>
          </cell>
          <cell r="K67">
            <v>11</v>
          </cell>
          <cell r="L67">
            <v>3</v>
          </cell>
          <cell r="N67" t="str">
            <v>BO QUESTEMBERT 1</v>
          </cell>
          <cell r="O67" t="str">
            <v>-</v>
          </cell>
          <cell r="P67" t="str">
            <v>FC ST-RAOUL 1</v>
          </cell>
          <cell r="Q67">
            <v>13</v>
          </cell>
          <cell r="R67">
            <v>1</v>
          </cell>
          <cell r="T67" t="str">
            <v>AO ST-NOLFF 1</v>
          </cell>
          <cell r="U67" t="str">
            <v>-</v>
          </cell>
          <cell r="V67" t="str">
            <v>BO QUESTEMBERT 2</v>
          </cell>
          <cell r="W67">
            <v>6</v>
          </cell>
          <cell r="X67">
            <v>8</v>
          </cell>
          <cell r="Z67" t="str">
            <v>ES ST-AVE 2</v>
          </cell>
          <cell r="AA67" t="str">
            <v>-</v>
          </cell>
          <cell r="AB67" t="str">
            <v>PLUNERET/MERIAD 3</v>
          </cell>
          <cell r="AC67">
            <v>7</v>
          </cell>
          <cell r="AD67">
            <v>7</v>
          </cell>
          <cell r="AF67" t="str">
            <v>JA PLEUCADEUC 3</v>
          </cell>
          <cell r="AG67" t="str">
            <v>-</v>
          </cell>
          <cell r="AH67" t="str">
            <v>ES ST-AVE 1</v>
          </cell>
          <cell r="AI67">
            <v>7</v>
          </cell>
          <cell r="AJ67">
            <v>7</v>
          </cell>
        </row>
        <row r="68">
          <cell r="B68" t="str">
            <v>MUZILLAC TT 1</v>
          </cell>
          <cell r="C68" t="str">
            <v>-</v>
          </cell>
          <cell r="D68" t="str">
            <v>AC PLERIN 3</v>
          </cell>
          <cell r="E68">
            <v>6</v>
          </cell>
          <cell r="F68">
            <v>8</v>
          </cell>
          <cell r="H68" t="str">
            <v>MUZILLAC TT 2</v>
          </cell>
          <cell r="I68" t="str">
            <v>-</v>
          </cell>
          <cell r="J68" t="str">
            <v>CTT MENIMUR 2</v>
          </cell>
          <cell r="K68">
            <v>7</v>
          </cell>
          <cell r="L68">
            <v>7</v>
          </cell>
          <cell r="N68" t="str">
            <v>MUZILLAC TT 3</v>
          </cell>
          <cell r="O68" t="str">
            <v>-</v>
          </cell>
          <cell r="P68" t="str">
            <v>TT PAYS LOCMINE 1</v>
          </cell>
          <cell r="Q68">
            <v>4</v>
          </cell>
          <cell r="R68">
            <v>10</v>
          </cell>
          <cell r="T68" t="str">
            <v>RAQ GUEGON 1</v>
          </cell>
          <cell r="U68" t="str">
            <v>-</v>
          </cell>
          <cell r="V68" t="str">
            <v>ASPTT VANNES 4</v>
          </cell>
          <cell r="W68">
            <v>6</v>
          </cell>
          <cell r="X68">
            <v>8</v>
          </cell>
          <cell r="Z68" t="str">
            <v>CTT MENIMUR 5</v>
          </cell>
          <cell r="AA68" t="str">
            <v>-</v>
          </cell>
          <cell r="AB68" t="str">
            <v>TT RHUYS 2</v>
          </cell>
          <cell r="AC68">
            <v>5</v>
          </cell>
          <cell r="AD68">
            <v>9</v>
          </cell>
          <cell r="AF68" t="str">
            <v>FC ST-RAOUL 2</v>
          </cell>
          <cell r="AG68" t="str">
            <v>-</v>
          </cell>
          <cell r="AH68" t="str">
            <v>MUZILLAC TT 6</v>
          </cell>
          <cell r="AI68">
            <v>7</v>
          </cell>
          <cell r="AJ68">
            <v>7</v>
          </cell>
        </row>
        <row r="69">
          <cell r="B69" t="str">
            <v>LE FOLGOET/LESNEVEN 1</v>
          </cell>
          <cell r="C69" t="str">
            <v>-</v>
          </cell>
          <cell r="D69" t="str">
            <v>TT LA BAIE YFFINIAC 1</v>
          </cell>
          <cell r="E69">
            <v>8</v>
          </cell>
          <cell r="F69">
            <v>6</v>
          </cell>
          <cell r="H69" t="str">
            <v>AJK VANNES 4</v>
          </cell>
          <cell r="I69" t="str">
            <v>-</v>
          </cell>
          <cell r="J69" t="str">
            <v>ASPTT VANNES 3</v>
          </cell>
          <cell r="K69">
            <v>6</v>
          </cell>
          <cell r="L69">
            <v>8</v>
          </cell>
          <cell r="N69" t="str">
            <v>ASPTT VANNES 6</v>
          </cell>
          <cell r="O69" t="str">
            <v>-</v>
          </cell>
          <cell r="P69" t="str">
            <v>CTT MENIMUR 3</v>
          </cell>
          <cell r="Q69">
            <v>4</v>
          </cell>
          <cell r="R69">
            <v>10</v>
          </cell>
          <cell r="T69" t="str">
            <v>US ST-ABRAHAM 2</v>
          </cell>
          <cell r="U69" t="str">
            <v>-</v>
          </cell>
          <cell r="V69" t="str">
            <v>L. PLOERMEL 4</v>
          </cell>
          <cell r="W69">
            <v>9</v>
          </cell>
          <cell r="X69">
            <v>5</v>
          </cell>
          <cell r="Z69" t="str">
            <v>BAUD TT 1</v>
          </cell>
          <cell r="AA69" t="str">
            <v>-</v>
          </cell>
          <cell r="AB69" t="str">
            <v>TT RHUYS 1</v>
          </cell>
          <cell r="AC69">
            <v>13</v>
          </cell>
          <cell r="AD69">
            <v>1</v>
          </cell>
          <cell r="AF69" t="str">
            <v>CTT MENIMUR 6</v>
          </cell>
          <cell r="AG69" t="str">
            <v>-</v>
          </cell>
          <cell r="AH69" t="str">
            <v>RAQ PEILLAC 1</v>
          </cell>
          <cell r="AI69">
            <v>12</v>
          </cell>
          <cell r="AJ69">
            <v>2</v>
          </cell>
        </row>
        <row r="70">
          <cell r="B70" t="str">
            <v>RP FOUESNANT 5</v>
          </cell>
          <cell r="C70" t="str">
            <v>-</v>
          </cell>
          <cell r="D70" t="str">
            <v>RENNES AVENIR 4</v>
          </cell>
          <cell r="E70">
            <v>6</v>
          </cell>
          <cell r="F70">
            <v>8</v>
          </cell>
          <cell r="H70" t="str">
            <v>US ST-ABRAHAM 1</v>
          </cell>
          <cell r="I70" t="str">
            <v>-</v>
          </cell>
          <cell r="J70" t="str">
            <v>SENE TT 2</v>
          </cell>
          <cell r="K70">
            <v>6</v>
          </cell>
          <cell r="L70">
            <v>8</v>
          </cell>
          <cell r="N70" t="str">
            <v>ARGOET STT 1</v>
          </cell>
          <cell r="O70" t="str">
            <v>-</v>
          </cell>
          <cell r="P70" t="str">
            <v>JA PLEUCADEUC 1</v>
          </cell>
          <cell r="Q70">
            <v>5</v>
          </cell>
          <cell r="R70">
            <v>9</v>
          </cell>
          <cell r="T70" t="str">
            <v>ES PLESCOP TT 5</v>
          </cell>
          <cell r="U70" t="str">
            <v>-</v>
          </cell>
          <cell r="V70" t="str">
            <v>MUZILLAC TT 4</v>
          </cell>
          <cell r="W70">
            <v>9</v>
          </cell>
          <cell r="X70">
            <v>5</v>
          </cell>
          <cell r="Z70" t="str">
            <v>MUZILLAC TT 5</v>
          </cell>
          <cell r="AA70" t="str">
            <v>-</v>
          </cell>
          <cell r="AB70" t="str">
            <v>CTT MENIMUR 4</v>
          </cell>
          <cell r="AC70">
            <v>11</v>
          </cell>
          <cell r="AD70">
            <v>3</v>
          </cell>
          <cell r="AF70" t="str">
            <v>ARGOET STT 2</v>
          </cell>
          <cell r="AG70" t="str">
            <v>-</v>
          </cell>
          <cell r="AH70" t="str">
            <v>SENE TT 3</v>
          </cell>
          <cell r="AI70">
            <v>0</v>
          </cell>
          <cell r="AJ70">
            <v>14</v>
          </cell>
        </row>
        <row r="71">
          <cell r="B71" t="str">
            <v>Journée n° 12</v>
          </cell>
          <cell r="D71" t="str">
            <v>AC PLERIN 3</v>
          </cell>
          <cell r="F71" t="str">
            <v>reçoit</v>
          </cell>
          <cell r="J71" t="str">
            <v>CTT MENIMUR 2</v>
          </cell>
          <cell r="L71" t="str">
            <v>reçoit</v>
          </cell>
          <cell r="N71" t="str">
            <v>Journée n° 12</v>
          </cell>
          <cell r="P71" t="str">
            <v>TT PAYS LOCMINE 1</v>
          </cell>
          <cell r="R71" t="str">
            <v>reçoit</v>
          </cell>
          <cell r="V71" t="str">
            <v>ES PLESCOP TT 5</v>
          </cell>
          <cell r="X71" t="str">
            <v>va à</v>
          </cell>
          <cell r="Z71" t="str">
            <v>Journée n° 12</v>
          </cell>
          <cell r="AB71" t="str">
            <v>CTT MENIMUR 4</v>
          </cell>
          <cell r="AC71" t="str">
            <v>CTT MENIMUR 4</v>
          </cell>
          <cell r="AD71" t="str">
            <v>reçoit</v>
          </cell>
          <cell r="AH71" t="str">
            <v>FC ST-RAOUL 2</v>
          </cell>
          <cell r="AJ71" t="str">
            <v>va à</v>
          </cell>
        </row>
        <row r="72">
          <cell r="B72">
            <v>42076</v>
          </cell>
          <cell r="D72" t="str">
            <v/>
          </cell>
          <cell r="E72">
            <v>7</v>
          </cell>
          <cell r="F72" t="str">
            <v>Nul 7 - 7</v>
          </cell>
          <cell r="J72" t="str">
            <v/>
          </cell>
          <cell r="K72">
            <v>7</v>
          </cell>
          <cell r="L72" t="str">
            <v>Nul 7 - 7</v>
          </cell>
          <cell r="P72" t="str">
            <v/>
          </cell>
          <cell r="Q72">
            <v>8</v>
          </cell>
          <cell r="R72" t="str">
            <v>Vict 8 - 6</v>
          </cell>
          <cell r="V72" t="str">
            <v/>
          </cell>
          <cell r="W72">
            <v>6</v>
          </cell>
          <cell r="X72" t="str">
            <v>Déf 8 - 6</v>
          </cell>
          <cell r="AB72" t="str">
            <v/>
          </cell>
          <cell r="AC72">
            <v>8</v>
          </cell>
          <cell r="AD72" t="str">
            <v>Vict 8 - 6</v>
          </cell>
          <cell r="AH72" t="str">
            <v/>
          </cell>
          <cell r="AI72">
            <v>11</v>
          </cell>
          <cell r="AJ72" t="str">
            <v>Vict 11 - 3</v>
          </cell>
        </row>
        <row r="73">
          <cell r="B73" t="str">
            <v>RENNES TA 3</v>
          </cell>
          <cell r="C73" t="str">
            <v>-</v>
          </cell>
          <cell r="D73" t="str">
            <v>MUZILLAC TT 1</v>
          </cell>
          <cell r="E73">
            <v>7</v>
          </cell>
          <cell r="F73">
            <v>7</v>
          </cell>
          <cell r="H73" t="str">
            <v>CTT MENIMUR 2</v>
          </cell>
          <cell r="I73" t="str">
            <v>-</v>
          </cell>
          <cell r="J73" t="str">
            <v>L. PLOERMEL 3</v>
          </cell>
          <cell r="K73">
            <v>3</v>
          </cell>
          <cell r="L73">
            <v>11</v>
          </cell>
          <cell r="N73" t="str">
            <v>TT PAYS LOCMINE 1</v>
          </cell>
          <cell r="O73" t="str">
            <v>-</v>
          </cell>
          <cell r="P73" t="str">
            <v>BO QUESTEMBERT 1</v>
          </cell>
          <cell r="Q73">
            <v>5</v>
          </cell>
          <cell r="R73">
            <v>9</v>
          </cell>
          <cell r="T73" t="str">
            <v>ASPTT VANNES 4</v>
          </cell>
          <cell r="U73" t="str">
            <v>-</v>
          </cell>
          <cell r="V73" t="str">
            <v>AO ST-NOLFF 1</v>
          </cell>
          <cell r="W73">
            <v>6</v>
          </cell>
          <cell r="X73">
            <v>8</v>
          </cell>
          <cell r="Z73" t="str">
            <v>TT RHUYS 2</v>
          </cell>
          <cell r="AA73" t="str">
            <v>-</v>
          </cell>
          <cell r="AB73" t="str">
            <v>ES ST-AVE 2</v>
          </cell>
          <cell r="AC73">
            <v>10</v>
          </cell>
          <cell r="AD73">
            <v>4</v>
          </cell>
          <cell r="AF73" t="str">
            <v>MUZILLAC TT 6</v>
          </cell>
          <cell r="AG73" t="str">
            <v>-</v>
          </cell>
          <cell r="AH73" t="str">
            <v>JA PLEUCADEUC 3</v>
          </cell>
          <cell r="AI73">
            <v>11</v>
          </cell>
          <cell r="AJ73">
            <v>3</v>
          </cell>
        </row>
        <row r="74">
          <cell r="B74" t="str">
            <v>AC PLERIN 3</v>
          </cell>
          <cell r="C74" t="str">
            <v>-</v>
          </cell>
          <cell r="D74" t="str">
            <v>LE FOLGOET/LESNEVEN 1</v>
          </cell>
          <cell r="E74">
            <v>11</v>
          </cell>
          <cell r="F74">
            <v>3</v>
          </cell>
          <cell r="H74" t="str">
            <v>ASPTT VANNES 3</v>
          </cell>
          <cell r="I74" t="str">
            <v>-</v>
          </cell>
          <cell r="J74" t="str">
            <v>MUZILLAC TT 2</v>
          </cell>
          <cell r="K74">
            <v>7</v>
          </cell>
          <cell r="L74">
            <v>7</v>
          </cell>
          <cell r="N74" t="str">
            <v>CTT MENIMUR 3</v>
          </cell>
          <cell r="O74" t="str">
            <v>-</v>
          </cell>
          <cell r="P74" t="str">
            <v>MUZILLAC TT 3</v>
          </cell>
          <cell r="Q74">
            <v>6</v>
          </cell>
          <cell r="R74">
            <v>8</v>
          </cell>
          <cell r="T74" t="str">
            <v>L. PLOERMEL 4</v>
          </cell>
          <cell r="U74" t="str">
            <v>-</v>
          </cell>
          <cell r="V74" t="str">
            <v>RAQ GUEGON 1</v>
          </cell>
          <cell r="W74">
            <v>11</v>
          </cell>
          <cell r="X74">
            <v>3</v>
          </cell>
          <cell r="Z74" t="str">
            <v>TT RHUYS 1</v>
          </cell>
          <cell r="AA74" t="str">
            <v>-</v>
          </cell>
          <cell r="AB74" t="str">
            <v>CTT MENIMUR 5</v>
          </cell>
          <cell r="AC74" t="str">
            <v>e</v>
          </cell>
          <cell r="AD74" t="str">
            <v>e</v>
          </cell>
          <cell r="AF74" t="str">
            <v>RAQ PEILLAC 1</v>
          </cell>
          <cell r="AG74" t="str">
            <v>-</v>
          </cell>
          <cell r="AH74" t="str">
            <v>FC ST-RAOUL 2</v>
          </cell>
          <cell r="AI74">
            <v>6</v>
          </cell>
          <cell r="AJ74">
            <v>8</v>
          </cell>
        </row>
        <row r="75">
          <cell r="B75" t="str">
            <v>RENNES AVENIR 4</v>
          </cell>
          <cell r="C75" t="str">
            <v>-</v>
          </cell>
          <cell r="D75" t="str">
            <v>CPB RENNES RAPATEL 2</v>
          </cell>
          <cell r="E75">
            <v>7</v>
          </cell>
          <cell r="F75">
            <v>7</v>
          </cell>
          <cell r="H75" t="str">
            <v>PLUNERET/MERIAD 1</v>
          </cell>
          <cell r="I75" t="str">
            <v>-</v>
          </cell>
          <cell r="J75" t="str">
            <v>US ST-ABRAHAM 1</v>
          </cell>
          <cell r="K75">
            <v>5</v>
          </cell>
          <cell r="L75">
            <v>9</v>
          </cell>
          <cell r="N75" t="str">
            <v>FC ST-RAOUL 1</v>
          </cell>
          <cell r="O75" t="str">
            <v>-</v>
          </cell>
          <cell r="P75" t="str">
            <v>ARGOET STT 1</v>
          </cell>
          <cell r="Q75">
            <v>9</v>
          </cell>
          <cell r="R75">
            <v>5</v>
          </cell>
          <cell r="T75" t="str">
            <v>BO QUESTEMBERT 2</v>
          </cell>
          <cell r="U75" t="str">
            <v>-</v>
          </cell>
          <cell r="V75" t="str">
            <v>ES PLESCOP TT 5</v>
          </cell>
          <cell r="W75">
            <v>6</v>
          </cell>
          <cell r="X75">
            <v>8</v>
          </cell>
          <cell r="Z75" t="str">
            <v>PLUNERET/MERIAD 3</v>
          </cell>
          <cell r="AA75" t="str">
            <v>-</v>
          </cell>
          <cell r="AB75" t="str">
            <v>MUZILLAC TT 5</v>
          </cell>
          <cell r="AC75">
            <v>6</v>
          </cell>
          <cell r="AD75">
            <v>8</v>
          </cell>
          <cell r="AF75" t="str">
            <v>ES ST-AVE 1</v>
          </cell>
          <cell r="AG75" t="str">
            <v>-</v>
          </cell>
          <cell r="AH75" t="str">
            <v>ARGOET STT 2</v>
          </cell>
          <cell r="AI75">
            <v>10</v>
          </cell>
          <cell r="AJ75">
            <v>4</v>
          </cell>
        </row>
        <row r="76">
          <cell r="B76" t="str">
            <v>TT LA BAIE YFFINIAC 1</v>
          </cell>
          <cell r="C76" t="str">
            <v>-</v>
          </cell>
          <cell r="D76" t="str">
            <v>RP FOUESNANT 5</v>
          </cell>
          <cell r="E76">
            <v>4</v>
          </cell>
          <cell r="F76">
            <v>10</v>
          </cell>
          <cell r="H76" t="str">
            <v>SENE TT 2</v>
          </cell>
          <cell r="I76" t="str">
            <v>-</v>
          </cell>
          <cell r="J76" t="str">
            <v>AJK VANNES 4</v>
          </cell>
          <cell r="K76">
            <v>11</v>
          </cell>
          <cell r="L76">
            <v>3</v>
          </cell>
          <cell r="N76" t="str">
            <v>JA PLEUCADEUC 1</v>
          </cell>
          <cell r="O76" t="str">
            <v>-</v>
          </cell>
          <cell r="P76" t="str">
            <v>ASPTT VANNES 6</v>
          </cell>
          <cell r="Q76">
            <v>8</v>
          </cell>
          <cell r="R76">
            <v>6</v>
          </cell>
          <cell r="T76" t="str">
            <v>MUZILLAC TT 4</v>
          </cell>
          <cell r="U76" t="str">
            <v>-</v>
          </cell>
          <cell r="V76" t="str">
            <v>US ST-ABRAHAM 2</v>
          </cell>
          <cell r="W76">
            <v>6</v>
          </cell>
          <cell r="X76">
            <v>8</v>
          </cell>
          <cell r="Z76" t="str">
            <v>CTT MENIMUR 4</v>
          </cell>
          <cell r="AA76" t="str">
            <v>-</v>
          </cell>
          <cell r="AB76" t="str">
            <v>BAUD TT 1</v>
          </cell>
          <cell r="AC76">
            <v>1</v>
          </cell>
          <cell r="AD76">
            <v>13</v>
          </cell>
          <cell r="AF76" t="str">
            <v>SENE TT 3</v>
          </cell>
          <cell r="AG76" t="str">
            <v>-</v>
          </cell>
          <cell r="AH76" t="str">
            <v>CTT MENIMUR 6</v>
          </cell>
          <cell r="AI76">
            <v>9</v>
          </cell>
          <cell r="AJ76">
            <v>5</v>
          </cell>
        </row>
        <row r="77">
          <cell r="B77" t="str">
            <v>Journée n° 13</v>
          </cell>
          <cell r="D77" t="str">
            <v>RENNES TA 3</v>
          </cell>
          <cell r="F77" t="str">
            <v>va à</v>
          </cell>
          <cell r="J77" t="str">
            <v>ASPTT VANNES 3</v>
          </cell>
          <cell r="L77" t="str">
            <v>va à</v>
          </cell>
          <cell r="N77" t="str">
            <v>Journée n° 13</v>
          </cell>
          <cell r="P77" t="str">
            <v>CTT MENIMUR 3</v>
          </cell>
          <cell r="R77" t="str">
            <v>va à</v>
          </cell>
          <cell r="V77" t="str">
            <v>US ST-ABRAHAM 2</v>
          </cell>
          <cell r="X77" t="str">
            <v>reçoit</v>
          </cell>
          <cell r="Z77" t="str">
            <v>Journée n° 13</v>
          </cell>
          <cell r="AB77" t="str">
            <v>PLUNERET/MERIAD 3</v>
          </cell>
          <cell r="AC77" t="str">
            <v>PLUNERET/MERIAD 3</v>
          </cell>
          <cell r="AD77" t="str">
            <v>va à</v>
          </cell>
          <cell r="AH77" t="str">
            <v>JA PLEUCADEUC 3</v>
          </cell>
          <cell r="AJ77" t="str">
            <v>reçoit</v>
          </cell>
        </row>
        <row r="78">
          <cell r="B78">
            <v>42090</v>
          </cell>
          <cell r="D78" t="str">
            <v/>
          </cell>
          <cell r="E78">
            <v>12</v>
          </cell>
          <cell r="F78" t="str">
            <v>Vict 12 - 2</v>
          </cell>
          <cell r="J78" t="str">
            <v/>
          </cell>
          <cell r="K78">
            <v>10</v>
          </cell>
          <cell r="L78" t="str">
            <v>Vict 10 - 4</v>
          </cell>
          <cell r="P78" t="str">
            <v/>
          </cell>
          <cell r="Q78">
            <v>13</v>
          </cell>
          <cell r="R78" t="str">
            <v>Vict 13 - 1</v>
          </cell>
          <cell r="V78" t="str">
            <v/>
          </cell>
          <cell r="W78">
            <v>6</v>
          </cell>
          <cell r="X78" t="str">
            <v>Déf 8 - 6</v>
          </cell>
          <cell r="AB78" t="str">
            <v/>
          </cell>
          <cell r="AC78">
            <v>9</v>
          </cell>
          <cell r="AD78" t="str">
            <v>Vict 9 - 5</v>
          </cell>
          <cell r="AH78" t="str">
            <v/>
          </cell>
          <cell r="AI78">
            <v>8</v>
          </cell>
          <cell r="AJ78" t="str">
            <v>Vict 8 - 6</v>
          </cell>
        </row>
        <row r="79">
          <cell r="B79" t="str">
            <v>LE FOLGOET/LESNEVEN 1</v>
          </cell>
          <cell r="C79" t="str">
            <v>-</v>
          </cell>
          <cell r="D79" t="str">
            <v>RENNES TA 3</v>
          </cell>
          <cell r="E79">
            <v>6</v>
          </cell>
          <cell r="F79">
            <v>8</v>
          </cell>
          <cell r="H79" t="str">
            <v>L. PLOERMEL 3</v>
          </cell>
          <cell r="I79" t="str">
            <v>-</v>
          </cell>
          <cell r="J79" t="str">
            <v>ASPTT VANNES 3</v>
          </cell>
          <cell r="K79">
            <v>9</v>
          </cell>
          <cell r="L79">
            <v>5</v>
          </cell>
          <cell r="N79" t="str">
            <v>BO QUESTEMBERT 1</v>
          </cell>
          <cell r="O79" t="str">
            <v>-</v>
          </cell>
          <cell r="P79" t="str">
            <v>CTT MENIMUR 3</v>
          </cell>
          <cell r="Q79">
            <v>10</v>
          </cell>
          <cell r="R79">
            <v>4</v>
          </cell>
          <cell r="T79" t="str">
            <v>AO ST-NOLFF 1</v>
          </cell>
          <cell r="U79" t="str">
            <v>-</v>
          </cell>
          <cell r="V79" t="str">
            <v>L. PLOERMEL 4</v>
          </cell>
          <cell r="W79">
            <v>10</v>
          </cell>
          <cell r="X79">
            <v>4</v>
          </cell>
          <cell r="Z79" t="str">
            <v>ES ST-AVE 2</v>
          </cell>
          <cell r="AA79" t="str">
            <v>-</v>
          </cell>
          <cell r="AB79" t="str">
            <v>TT RHUYS 1</v>
          </cell>
          <cell r="AC79">
            <v>9</v>
          </cell>
          <cell r="AD79">
            <v>5</v>
          </cell>
          <cell r="AF79" t="str">
            <v>JA PLEUCADEUC 3</v>
          </cell>
          <cell r="AG79" t="str">
            <v>-</v>
          </cell>
          <cell r="AH79" t="str">
            <v>RAQ PEILLAC 1</v>
          </cell>
          <cell r="AI79">
            <v>8</v>
          </cell>
          <cell r="AJ79">
            <v>6</v>
          </cell>
        </row>
        <row r="80">
          <cell r="B80" t="str">
            <v>AC PLERIN 3</v>
          </cell>
          <cell r="C80" t="str">
            <v>-</v>
          </cell>
          <cell r="D80" t="str">
            <v>TT LA BAIE YFFINIAC 1</v>
          </cell>
          <cell r="E80">
            <v>14</v>
          </cell>
          <cell r="F80">
            <v>0</v>
          </cell>
          <cell r="H80" t="str">
            <v>AJK VANNES 4</v>
          </cell>
          <cell r="I80" t="str">
            <v>-</v>
          </cell>
          <cell r="J80" t="str">
            <v>MUZILLAC TT 2</v>
          </cell>
          <cell r="K80">
            <v>4</v>
          </cell>
          <cell r="L80">
            <v>10</v>
          </cell>
          <cell r="N80" t="str">
            <v>ASPTT VANNES 6</v>
          </cell>
          <cell r="O80" t="str">
            <v>-</v>
          </cell>
          <cell r="P80" t="str">
            <v>MUZILLAC TT 3</v>
          </cell>
          <cell r="Q80">
            <v>1</v>
          </cell>
          <cell r="R80">
            <v>13</v>
          </cell>
          <cell r="T80" t="str">
            <v>US ST-ABRAHAM 2</v>
          </cell>
          <cell r="U80" t="str">
            <v>-</v>
          </cell>
          <cell r="V80" t="str">
            <v>RAQ GUEGON 1</v>
          </cell>
          <cell r="W80">
            <v>10</v>
          </cell>
          <cell r="X80">
            <v>4</v>
          </cell>
          <cell r="Z80" t="str">
            <v>BAUD TT 1</v>
          </cell>
          <cell r="AA80" t="str">
            <v>-</v>
          </cell>
          <cell r="AB80" t="str">
            <v>CTT MENIMUR 5</v>
          </cell>
          <cell r="AC80">
            <v>12</v>
          </cell>
          <cell r="AD80">
            <v>2</v>
          </cell>
          <cell r="AF80" t="str">
            <v>CTT MENIMUR 6</v>
          </cell>
          <cell r="AG80" t="str">
            <v>-</v>
          </cell>
          <cell r="AH80" t="str">
            <v>FC ST-RAOUL 2</v>
          </cell>
          <cell r="AI80">
            <v>13</v>
          </cell>
          <cell r="AJ80">
            <v>1</v>
          </cell>
        </row>
        <row r="81">
          <cell r="B81" t="str">
            <v>MUZILLAC TT 1</v>
          </cell>
          <cell r="C81" t="str">
            <v>-</v>
          </cell>
          <cell r="D81" t="str">
            <v>RENNES AVENIR 4</v>
          </cell>
          <cell r="E81">
            <v>12</v>
          </cell>
          <cell r="F81">
            <v>2</v>
          </cell>
          <cell r="H81" t="str">
            <v>US ST-ABRAHAM 1</v>
          </cell>
          <cell r="I81" t="str">
            <v>-</v>
          </cell>
          <cell r="J81" t="str">
            <v>CTT MENIMUR 2</v>
          </cell>
          <cell r="K81">
            <v>7</v>
          </cell>
          <cell r="L81">
            <v>7</v>
          </cell>
          <cell r="N81" t="str">
            <v>ARGOET STT 1</v>
          </cell>
          <cell r="O81" t="str">
            <v>-</v>
          </cell>
          <cell r="P81" t="str">
            <v>TT PAYS LOCMINE 1</v>
          </cell>
          <cell r="Q81">
            <v>7</v>
          </cell>
          <cell r="R81">
            <v>7</v>
          </cell>
          <cell r="T81" t="str">
            <v>ES PLESCOP TT 5</v>
          </cell>
          <cell r="U81" t="str">
            <v>-</v>
          </cell>
          <cell r="V81" t="str">
            <v>ASPTT VANNES 4</v>
          </cell>
          <cell r="W81">
            <v>6</v>
          </cell>
          <cell r="X81">
            <v>8</v>
          </cell>
          <cell r="Z81" t="str">
            <v>MUZILLAC TT 5</v>
          </cell>
          <cell r="AA81" t="str">
            <v>-</v>
          </cell>
          <cell r="AB81" t="str">
            <v>TT RHUYS 2</v>
          </cell>
          <cell r="AC81">
            <v>9</v>
          </cell>
          <cell r="AD81">
            <v>5</v>
          </cell>
          <cell r="AF81" t="str">
            <v>ARGOET STT 2</v>
          </cell>
          <cell r="AG81" t="str">
            <v>-</v>
          </cell>
          <cell r="AH81" t="str">
            <v>MUZILLAC TT 6</v>
          </cell>
          <cell r="AI81">
            <v>6</v>
          </cell>
          <cell r="AJ81">
            <v>8</v>
          </cell>
        </row>
        <row r="82">
          <cell r="B82" t="str">
            <v>CPB RENNES RAPATEL 2</v>
          </cell>
          <cell r="C82" t="str">
            <v>-</v>
          </cell>
          <cell r="D82" t="str">
            <v>RP FOUESNANT 5</v>
          </cell>
          <cell r="E82">
            <v>6</v>
          </cell>
          <cell r="F82">
            <v>8</v>
          </cell>
          <cell r="H82" t="str">
            <v>SENE TT 2</v>
          </cell>
          <cell r="I82" t="str">
            <v>-</v>
          </cell>
          <cell r="J82" t="str">
            <v>PLUNERET/MERIAD 1</v>
          </cell>
          <cell r="K82">
            <v>7</v>
          </cell>
          <cell r="L82">
            <v>7</v>
          </cell>
          <cell r="N82" t="str">
            <v>JA PLEUCADEUC 1</v>
          </cell>
          <cell r="O82" t="str">
            <v>-</v>
          </cell>
          <cell r="P82" t="str">
            <v>FC ST-RAOUL 1</v>
          </cell>
          <cell r="Q82">
            <v>3</v>
          </cell>
          <cell r="R82">
            <v>11</v>
          </cell>
          <cell r="T82" t="str">
            <v>MUZILLAC TT 4</v>
          </cell>
          <cell r="U82" t="str">
            <v>-</v>
          </cell>
          <cell r="V82" t="str">
            <v>BO QUESTEMBERT 2</v>
          </cell>
          <cell r="W82">
            <v>6</v>
          </cell>
          <cell r="X82">
            <v>8</v>
          </cell>
          <cell r="Z82" t="str">
            <v>CTT MENIMUR 4</v>
          </cell>
          <cell r="AA82" t="str">
            <v>-</v>
          </cell>
          <cell r="AB82" t="str">
            <v>PLUNERET/MERIAD 3</v>
          </cell>
          <cell r="AC82">
            <v>8</v>
          </cell>
          <cell r="AD82">
            <v>6</v>
          </cell>
          <cell r="AF82" t="str">
            <v>SENE TT 3</v>
          </cell>
          <cell r="AG82" t="str">
            <v>-</v>
          </cell>
          <cell r="AH82" t="str">
            <v>ES ST-AVE 1</v>
          </cell>
          <cell r="AI82">
            <v>13</v>
          </cell>
          <cell r="AJ82">
            <v>1</v>
          </cell>
        </row>
        <row r="83">
          <cell r="B83" t="str">
            <v>Journée n° 14</v>
          </cell>
          <cell r="D83" t="str">
            <v>RENNES AVENIR 4</v>
          </cell>
          <cell r="F83" t="str">
            <v>reçoit</v>
          </cell>
          <cell r="J83" t="str">
            <v>AJK VANNES 4</v>
          </cell>
          <cell r="L83" t="str">
            <v>va à</v>
          </cell>
          <cell r="N83" t="str">
            <v xml:space="preserve">Journée n° 14 </v>
          </cell>
          <cell r="P83" t="str">
            <v>ASPTT VANNES 6</v>
          </cell>
          <cell r="R83" t="str">
            <v>va à</v>
          </cell>
          <cell r="V83" t="str">
            <v>BO QUESTEMBERT 2</v>
          </cell>
          <cell r="X83" t="str">
            <v>reçoit</v>
          </cell>
          <cell r="Z83" t="str">
            <v>Journée n° 14</v>
          </cell>
          <cell r="AB83" t="str">
            <v>TT RHUYS 2</v>
          </cell>
          <cell r="AC83" t="str">
            <v>TT RHUYS 2</v>
          </cell>
          <cell r="AD83" t="str">
            <v>reçoit</v>
          </cell>
          <cell r="AH83" t="str">
            <v>ARGOET STT 2</v>
          </cell>
          <cell r="AJ83" t="str">
            <v>va à</v>
          </cell>
        </row>
        <row r="84">
          <cell r="B84">
            <v>42104</v>
          </cell>
          <cell r="D84" t="str">
            <v/>
          </cell>
          <cell r="E84">
            <v>10</v>
          </cell>
          <cell r="F84" t="str">
            <v>Vict 10 - 4</v>
          </cell>
          <cell r="J84" t="str">
            <v/>
          </cell>
          <cell r="K84">
            <v>12</v>
          </cell>
          <cell r="L84" t="str">
            <v>Vict 12 - 2</v>
          </cell>
          <cell r="P84" t="str">
            <v/>
          </cell>
          <cell r="Q84">
            <v>5</v>
          </cell>
          <cell r="R84" t="str">
            <v>Déf 9 - 5</v>
          </cell>
          <cell r="V84" t="str">
            <v/>
          </cell>
          <cell r="W84">
            <v>7</v>
          </cell>
          <cell r="X84" t="str">
            <v>Nul 7 - 7</v>
          </cell>
          <cell r="AB84" t="str">
            <v/>
          </cell>
          <cell r="AC84">
            <v>5</v>
          </cell>
          <cell r="AD84" t="str">
            <v>Déf 9 - 5</v>
          </cell>
          <cell r="AH84" t="str">
            <v/>
          </cell>
          <cell r="AI84">
            <v>5</v>
          </cell>
          <cell r="AJ84" t="str">
            <v>Déf 9 - 5</v>
          </cell>
        </row>
        <row r="85">
          <cell r="B85" t="str">
            <v>RENNES TA 3</v>
          </cell>
          <cell r="C85" t="str">
            <v>-</v>
          </cell>
          <cell r="D85" t="str">
            <v>AC PLERIN 3</v>
          </cell>
          <cell r="E85">
            <v>2</v>
          </cell>
          <cell r="F85">
            <v>12</v>
          </cell>
          <cell r="H85" t="str">
            <v>MUZILLAC TT 2</v>
          </cell>
          <cell r="I85" t="str">
            <v>-</v>
          </cell>
          <cell r="J85" t="str">
            <v>L. PLOERMEL 3</v>
          </cell>
          <cell r="K85">
            <v>12</v>
          </cell>
          <cell r="L85">
            <v>2</v>
          </cell>
          <cell r="N85" t="str">
            <v>MUZILLAC TT 3</v>
          </cell>
          <cell r="O85" t="str">
            <v>-</v>
          </cell>
          <cell r="P85" t="str">
            <v>BO QUESTEMBERT 1</v>
          </cell>
          <cell r="Q85">
            <v>5</v>
          </cell>
          <cell r="R85">
            <v>9</v>
          </cell>
          <cell r="T85" t="str">
            <v>RAQ GUEGON 1</v>
          </cell>
          <cell r="U85" t="str">
            <v>-</v>
          </cell>
          <cell r="V85" t="str">
            <v>AO ST-NOLFF 1</v>
          </cell>
          <cell r="W85">
            <v>8</v>
          </cell>
          <cell r="X85">
            <v>6</v>
          </cell>
          <cell r="Z85" t="str">
            <v>CTT MENIMUR 5</v>
          </cell>
          <cell r="AA85" t="str">
            <v>-</v>
          </cell>
          <cell r="AB85" t="str">
            <v>ES ST-AVE 2</v>
          </cell>
          <cell r="AC85">
            <v>9</v>
          </cell>
          <cell r="AD85">
            <v>5</v>
          </cell>
          <cell r="AF85" t="str">
            <v>FC ST-RAOUL 2</v>
          </cell>
          <cell r="AG85" t="str">
            <v>-</v>
          </cell>
          <cell r="AH85" t="str">
            <v>JA PLEUCADEUC 3</v>
          </cell>
          <cell r="AI85">
            <v>7</v>
          </cell>
          <cell r="AJ85">
            <v>7</v>
          </cell>
        </row>
        <row r="86">
          <cell r="B86" t="str">
            <v>RENNES AVENIR 4</v>
          </cell>
          <cell r="C86" t="str">
            <v>-</v>
          </cell>
          <cell r="D86" t="str">
            <v>LE FOLGOET/LESNEVEN 1</v>
          </cell>
          <cell r="E86">
            <v>6</v>
          </cell>
          <cell r="F86">
            <v>8</v>
          </cell>
          <cell r="H86" t="str">
            <v>ASPTT VANNES 3</v>
          </cell>
          <cell r="I86" t="str">
            <v>-</v>
          </cell>
          <cell r="J86" t="str">
            <v>US ST-ABRAHAM 1</v>
          </cell>
          <cell r="K86">
            <v>6</v>
          </cell>
          <cell r="L86">
            <v>8</v>
          </cell>
          <cell r="N86" t="str">
            <v>CTT MENIMUR 3</v>
          </cell>
          <cell r="O86" t="str">
            <v>-</v>
          </cell>
          <cell r="P86" t="str">
            <v>ARGOET STT 1</v>
          </cell>
          <cell r="Q86">
            <v>9</v>
          </cell>
          <cell r="R86">
            <v>5</v>
          </cell>
          <cell r="T86" t="str">
            <v>L. PLOERMEL 4</v>
          </cell>
          <cell r="U86" t="str">
            <v>-</v>
          </cell>
          <cell r="V86" t="str">
            <v>ES PLESCOP TT 5</v>
          </cell>
          <cell r="W86">
            <v>9</v>
          </cell>
          <cell r="X86">
            <v>5</v>
          </cell>
          <cell r="Z86" t="str">
            <v>TT RHUYS 1</v>
          </cell>
          <cell r="AA86" t="str">
            <v>-</v>
          </cell>
          <cell r="AB86" t="str">
            <v>MUZILLAC TT 5</v>
          </cell>
          <cell r="AC86">
            <v>9</v>
          </cell>
          <cell r="AD86">
            <v>5</v>
          </cell>
          <cell r="AF86" t="str">
            <v>RAQ PEILLAC 1</v>
          </cell>
          <cell r="AG86" t="str">
            <v>-</v>
          </cell>
          <cell r="AH86" t="str">
            <v>ARGOET STT 2</v>
          </cell>
          <cell r="AI86">
            <v>6</v>
          </cell>
          <cell r="AJ86">
            <v>8</v>
          </cell>
        </row>
        <row r="87">
          <cell r="B87" t="str">
            <v>RP FOUESNANT 5</v>
          </cell>
          <cell r="C87" t="str">
            <v>-</v>
          </cell>
          <cell r="D87" t="str">
            <v>MUZILLAC TT 1</v>
          </cell>
          <cell r="E87">
            <v>4</v>
          </cell>
          <cell r="F87">
            <v>10</v>
          </cell>
          <cell r="H87" t="str">
            <v>CTT MENIMUR 2</v>
          </cell>
          <cell r="I87" t="str">
            <v>-</v>
          </cell>
          <cell r="J87" t="str">
            <v>SENE TT 2</v>
          </cell>
          <cell r="K87">
            <v>12</v>
          </cell>
          <cell r="L87">
            <v>2</v>
          </cell>
          <cell r="N87" t="str">
            <v>TT PAYS LOCMINE 1</v>
          </cell>
          <cell r="O87" t="str">
            <v>-</v>
          </cell>
          <cell r="P87" t="str">
            <v>JA PLEUCADEUC 1</v>
          </cell>
          <cell r="Q87">
            <v>10</v>
          </cell>
          <cell r="R87">
            <v>4</v>
          </cell>
          <cell r="T87" t="str">
            <v>ASPTT VANNES 4</v>
          </cell>
          <cell r="U87" t="str">
            <v>-</v>
          </cell>
          <cell r="V87" t="str">
            <v>MUZILLAC TT 4</v>
          </cell>
          <cell r="W87">
            <v>7</v>
          </cell>
          <cell r="X87">
            <v>7</v>
          </cell>
          <cell r="Z87" t="str">
            <v>TT RHUYS 2</v>
          </cell>
          <cell r="AA87" t="str">
            <v>-</v>
          </cell>
          <cell r="AB87" t="str">
            <v>CTT MENIMUR 4</v>
          </cell>
          <cell r="AC87">
            <v>4</v>
          </cell>
          <cell r="AD87">
            <v>10</v>
          </cell>
          <cell r="AF87" t="str">
            <v>MUZILLAC TT 6</v>
          </cell>
          <cell r="AG87" t="str">
            <v>-</v>
          </cell>
          <cell r="AH87" t="str">
            <v>SENE TT 3</v>
          </cell>
          <cell r="AI87">
            <v>5</v>
          </cell>
          <cell r="AJ87">
            <v>9</v>
          </cell>
        </row>
        <row r="88">
          <cell r="B88" t="str">
            <v>TT LA BAIE YFFINIAC 1</v>
          </cell>
          <cell r="C88" t="str">
            <v>-</v>
          </cell>
          <cell r="D88" t="str">
            <v>CPB RENNES RAPATEL 2</v>
          </cell>
          <cell r="E88">
            <v>7</v>
          </cell>
          <cell r="F88">
            <v>7</v>
          </cell>
          <cell r="H88" t="str">
            <v>PLUNERET/MERIAD 1</v>
          </cell>
          <cell r="I88" t="str">
            <v>-</v>
          </cell>
          <cell r="J88" t="str">
            <v>AJK VANNES 4</v>
          </cell>
          <cell r="K88">
            <v>9</v>
          </cell>
          <cell r="L88">
            <v>5</v>
          </cell>
          <cell r="N88" t="str">
            <v>FC ST-RAOUL 1</v>
          </cell>
          <cell r="O88" t="str">
            <v>-</v>
          </cell>
          <cell r="P88" t="str">
            <v>ASPTT VANNES 6</v>
          </cell>
          <cell r="Q88">
            <v>13</v>
          </cell>
          <cell r="R88">
            <v>1</v>
          </cell>
          <cell r="T88" t="str">
            <v>BO QUESTEMBERT 2</v>
          </cell>
          <cell r="U88" t="str">
            <v>-</v>
          </cell>
          <cell r="V88" t="str">
            <v>US ST-ABRAHAM 2</v>
          </cell>
          <cell r="W88">
            <v>6</v>
          </cell>
          <cell r="X88">
            <v>8</v>
          </cell>
          <cell r="Z88" t="str">
            <v>PLUNERET/MERIAD 3</v>
          </cell>
          <cell r="AA88" t="str">
            <v>-</v>
          </cell>
          <cell r="AB88" t="str">
            <v>BAUD TT 1</v>
          </cell>
          <cell r="AC88">
            <v>6</v>
          </cell>
          <cell r="AD88">
            <v>8</v>
          </cell>
          <cell r="AF88" t="str">
            <v>ES ST-AVE 1</v>
          </cell>
          <cell r="AG88" t="str">
            <v>-</v>
          </cell>
          <cell r="AH88" t="str">
            <v>CTT MENIMUR 6</v>
          </cell>
          <cell r="AI88">
            <v>10</v>
          </cell>
          <cell r="AJ88">
            <v>4</v>
          </cell>
        </row>
        <row r="89">
          <cell r="B89" t="str">
            <v>Journée n° 15</v>
          </cell>
          <cell r="D89" t="str">
            <v>RP FOUESNANT 5</v>
          </cell>
          <cell r="F89" t="str">
            <v>va à</v>
          </cell>
          <cell r="J89" t="str">
            <v>L. PLOERMEL 3</v>
          </cell>
          <cell r="L89" t="str">
            <v>reçoit</v>
          </cell>
          <cell r="P89" t="str">
            <v>BO QUESTEMBERT 1</v>
          </cell>
          <cell r="R89" t="str">
            <v>reçoit</v>
          </cell>
          <cell r="V89" t="str">
            <v>ASPTT VANNES 4</v>
          </cell>
          <cell r="X89" t="str">
            <v>va à</v>
          </cell>
          <cell r="AB89" t="str">
            <v>TT RHUYS 1</v>
          </cell>
          <cell r="AD89" t="str">
            <v>va à</v>
          </cell>
          <cell r="AH89" t="str">
            <v>SENE TT 3</v>
          </cell>
          <cell r="AJ89" t="str">
            <v>reçoit</v>
          </cell>
        </row>
        <row r="90">
          <cell r="B90" t="str">
            <v>Muzillac TT 1</v>
          </cell>
          <cell r="E90">
            <v>1</v>
          </cell>
          <cell r="F90" t="str">
            <v>Vict 13 - 1</v>
          </cell>
          <cell r="H90" t="str">
            <v>TT PLEMET/PLUMIEUX1</v>
          </cell>
          <cell r="L90" t="str">
            <v>Vict 9 - 5</v>
          </cell>
          <cell r="N90" t="str">
            <v>MUZILLAC TT 4</v>
          </cell>
          <cell r="R90" t="str">
            <v>Vict 14 - 0</v>
          </cell>
          <cell r="T90" t="str">
            <v>CTT MENIMUR 4</v>
          </cell>
          <cell r="X90" t="str">
            <v>Déf 9 - 5</v>
          </cell>
          <cell r="Z90" t="str">
            <v>MUZILLAC TT 2</v>
          </cell>
          <cell r="AD90" t="str">
            <v>Vict 8 - 6</v>
          </cell>
          <cell r="AF90" t="str">
            <v>CTT MENIMUR 5</v>
          </cell>
          <cell r="AJ90" t="str">
            <v>Vict 8 - 6</v>
          </cell>
          <cell r="AL90" t="str">
            <v>ST-JEAN BREVELA 2</v>
          </cell>
          <cell r="AP90" t="str">
            <v/>
          </cell>
          <cell r="AR90" t="str">
            <v>Exempt</v>
          </cell>
        </row>
        <row r="91">
          <cell r="B91" t="str">
            <v>Muzillac TT 2</v>
          </cell>
          <cell r="E91">
            <v>2</v>
          </cell>
          <cell r="F91" t="str">
            <v>Vict 9 - 5</v>
          </cell>
          <cell r="H91" t="str">
            <v>RENNES TA 2</v>
          </cell>
          <cell r="L91" t="str">
            <v>Nul 7 - 7</v>
          </cell>
          <cell r="N91" t="str">
            <v>ES PLESCOP TT 5</v>
          </cell>
          <cell r="R91" t="str">
            <v>Vict 14 - 0</v>
          </cell>
          <cell r="T91" t="str">
            <v>BO QUESTEMBERT 2</v>
          </cell>
          <cell r="X91" t="str">
            <v>Vict 8 - 6</v>
          </cell>
          <cell r="Z91" t="str">
            <v>TT RHUYS 1</v>
          </cell>
          <cell r="AD91" t="str">
            <v>Vict 9 - 5</v>
          </cell>
          <cell r="AF91" t="str">
            <v>AO ST-NOLFF 2</v>
          </cell>
          <cell r="AJ91" t="str">
            <v>Vict 12 - 2</v>
          </cell>
          <cell r="AL91" t="str">
            <v>BO QUESTEMBERT 4</v>
          </cell>
          <cell r="AP91" t="str">
            <v>Vict 12 - 2</v>
          </cell>
          <cell r="AR91" t="str">
            <v>ARGOET STT 3</v>
          </cell>
        </row>
        <row r="92">
          <cell r="B92" t="str">
            <v>Muzillac TT 3</v>
          </cell>
          <cell r="E92">
            <v>3</v>
          </cell>
          <cell r="F92" t="str">
            <v>Vict 11 - 3</v>
          </cell>
          <cell r="H92" t="str">
            <v>TT PORDIC 1</v>
          </cell>
          <cell r="L92" t="str">
            <v>Déf 10 - 4</v>
          </cell>
          <cell r="N92" t="str">
            <v>BO QUESTEMBERT 1</v>
          </cell>
          <cell r="R92" t="str">
            <v>Vict 9 - 5</v>
          </cell>
          <cell r="T92" t="str">
            <v>TT PAYS LOCMINE 1</v>
          </cell>
          <cell r="X92" t="str">
            <v>Déf 11 - 3</v>
          </cell>
          <cell r="Z92" t="str">
            <v>ES PLESCOP TT 5</v>
          </cell>
          <cell r="AD92" t="str">
            <v>Déf 12 - 2</v>
          </cell>
          <cell r="AF92" t="str">
            <v>BAUD TT 1</v>
          </cell>
          <cell r="AJ92" t="str">
            <v>Vict 12 - 2</v>
          </cell>
          <cell r="AL92" t="str">
            <v>RM PLUMELEC 2</v>
          </cell>
          <cell r="AP92" t="str">
            <v>Vict 8 - 6</v>
          </cell>
          <cell r="AR92" t="str">
            <v>CTT MENIMUR 8</v>
          </cell>
        </row>
        <row r="93">
          <cell r="B93" t="str">
            <v>Muzillac TT 4</v>
          </cell>
          <cell r="E93">
            <v>4</v>
          </cell>
          <cell r="F93" t="str">
            <v>Vict 11 - 3</v>
          </cell>
          <cell r="H93" t="str">
            <v>AURORE VITRE TT 2</v>
          </cell>
          <cell r="L93" t="str">
            <v>Vict 9 - 5</v>
          </cell>
          <cell r="N93" t="str">
            <v>ASPTT VANNES 4</v>
          </cell>
          <cell r="R93" t="str">
            <v>Vict 10 - 4</v>
          </cell>
          <cell r="T93" t="str">
            <v>US ST-ABRAHAM 2</v>
          </cell>
          <cell r="X93" t="str">
            <v>Déf 10 - 4</v>
          </cell>
          <cell r="Z93" t="str">
            <v>CTT MENIMUR 3</v>
          </cell>
          <cell r="AD93" t="str">
            <v/>
          </cell>
          <cell r="AF93" t="str">
            <v>Exempt</v>
          </cell>
          <cell r="AJ93" t="str">
            <v>Vict 13 - 1</v>
          </cell>
          <cell r="AL93" t="str">
            <v>AO ST-NOLFF 3</v>
          </cell>
          <cell r="AP93" t="str">
            <v>Vict 13 - 1</v>
          </cell>
          <cell r="AR93" t="str">
            <v>ES ST-AVE 4</v>
          </cell>
        </row>
        <row r="94">
          <cell r="B94" t="str">
            <v>Muzillac TT 5</v>
          </cell>
          <cell r="E94">
            <v>5</v>
          </cell>
          <cell r="F94" t="str">
            <v>Vict 12 - 2</v>
          </cell>
          <cell r="H94" t="str">
            <v>AJK VANNES 2</v>
          </cell>
          <cell r="L94" t="str">
            <v>Vict 13 - 1</v>
          </cell>
          <cell r="N94" t="str">
            <v>TT RHUYS 1</v>
          </cell>
          <cell r="R94" t="str">
            <v>Vict 8 - 6</v>
          </cell>
          <cell r="T94" t="str">
            <v>L. PLOERMEL 4</v>
          </cell>
          <cell r="X94" t="str">
            <v>Déf 11 - 3</v>
          </cell>
          <cell r="Z94" t="str">
            <v>BO QUESTEMBERT 1</v>
          </cell>
          <cell r="AD94" t="str">
            <v>Nul 7 - 7</v>
          </cell>
          <cell r="AF94" t="str">
            <v>PLUNERET/MERIAD 3</v>
          </cell>
          <cell r="AJ94" t="str">
            <v/>
          </cell>
          <cell r="AL94" t="str">
            <v>Exempt</v>
          </cell>
          <cell r="AP94" t="str">
            <v>Vict 11 - 3</v>
          </cell>
          <cell r="AR94" t="str">
            <v>AJK VANNES 6</v>
          </cell>
        </row>
        <row r="95">
          <cell r="B95" t="str">
            <v>Muzillac TT 6</v>
          </cell>
          <cell r="E95">
            <v>6</v>
          </cell>
          <cell r="F95" t="str">
            <v>Vict 12 - 2</v>
          </cell>
          <cell r="H95" t="str">
            <v>GV HENNEBONT 7</v>
          </cell>
          <cell r="L95" t="str">
            <v>Vict 11 - 3</v>
          </cell>
          <cell r="N95" t="str">
            <v>CTT MENIMUR 3</v>
          </cell>
          <cell r="R95" t="str">
            <v>Vict 11 - 3</v>
          </cell>
          <cell r="T95" t="str">
            <v>AO ST-NOLFF 1</v>
          </cell>
          <cell r="X95" t="str">
            <v>Déf 13 - 1</v>
          </cell>
          <cell r="Z95" t="str">
            <v>SENE TT 2</v>
          </cell>
          <cell r="AD95" t="str">
            <v>Déf 8 - 6</v>
          </cell>
          <cell r="AF95" t="str">
            <v>TT RHUYS 2</v>
          </cell>
          <cell r="AJ95" t="str">
            <v>Vict 12 - 2</v>
          </cell>
          <cell r="AL95" t="str">
            <v>L. PLOERMEL 7</v>
          </cell>
          <cell r="AP95" t="str">
            <v>Vict 12 - 2</v>
          </cell>
          <cell r="AR95" t="str">
            <v>ASPTT VANNES 8</v>
          </cell>
        </row>
        <row r="96">
          <cell r="B96" t="str">
            <v>Muzillac TT 7</v>
          </cell>
          <cell r="E96">
            <v>7</v>
          </cell>
          <cell r="F96" t="str">
            <v>Vict 10 - 4</v>
          </cell>
          <cell r="H96" t="str">
            <v>7 ILES PERROS 3</v>
          </cell>
          <cell r="L96" t="str">
            <v>Déf 8 - 6</v>
          </cell>
          <cell r="N96" t="str">
            <v>SENE TT 2</v>
          </cell>
          <cell r="R96" t="str">
            <v>Vict 11 - 3</v>
          </cell>
          <cell r="T96" t="str">
            <v>ARGOET STT 1</v>
          </cell>
          <cell r="X96" t="str">
            <v>Nul 7 - 7</v>
          </cell>
          <cell r="Z96" t="str">
            <v>ASPTT VANNES 4</v>
          </cell>
          <cell r="AD96" t="str">
            <v>Déf 11 - 3</v>
          </cell>
          <cell r="AF96" t="str">
            <v>ASPTT VANNES 5</v>
          </cell>
          <cell r="AJ96" t="str">
            <v>Vict 10 - 4</v>
          </cell>
          <cell r="AL96" t="str">
            <v>ARGOET STT 4</v>
          </cell>
          <cell r="AP96" t="str">
            <v>Vict 10 - 4</v>
          </cell>
          <cell r="AR96" t="str">
            <v>SENE TT 4</v>
          </cell>
        </row>
        <row r="97">
          <cell r="B97" t="str">
            <v>Muzillac TT 8</v>
          </cell>
          <cell r="E97">
            <v>8</v>
          </cell>
          <cell r="F97" t="str">
            <v>Vict 14 - 0</v>
          </cell>
          <cell r="H97" t="str">
            <v>CPB RENNES RAPATEL 2</v>
          </cell>
          <cell r="L97" t="str">
            <v>Vict 11 - 3</v>
          </cell>
          <cell r="N97" t="str">
            <v>US ST-ABRAHAM 1</v>
          </cell>
          <cell r="R97" t="str">
            <v>Vict 9 - 5</v>
          </cell>
          <cell r="T97" t="str">
            <v>ARGOET STT 1</v>
          </cell>
          <cell r="X97" t="str">
            <v>Vict 9 - 5</v>
          </cell>
          <cell r="Z97" t="str">
            <v>L. PLOERMEL 4</v>
          </cell>
          <cell r="AD97" t="str">
            <v>Vict 13 - 1</v>
          </cell>
          <cell r="AF97" t="str">
            <v>CTT MENIMUR 5</v>
          </cell>
          <cell r="AJ97" t="str">
            <v>Vict 11 - 3</v>
          </cell>
          <cell r="AL97" t="str">
            <v>ES ST-AVE 1</v>
          </cell>
          <cell r="AP97" t="str">
            <v>Déf 9 - 5</v>
          </cell>
          <cell r="AR97" t="str">
            <v>AJK VANNES 5</v>
          </cell>
        </row>
        <row r="98">
          <cell r="E98">
            <v>9</v>
          </cell>
          <cell r="F98" t="str">
            <v>Vict 9 - 5</v>
          </cell>
          <cell r="H98" t="str">
            <v>TT LA BAIE YFFINIAC 1</v>
          </cell>
          <cell r="L98" t="str">
            <v>Vict 10 - 4</v>
          </cell>
          <cell r="N98" t="str">
            <v>SENE TT 2</v>
          </cell>
          <cell r="R98" t="str">
            <v>Déf 8 - 6</v>
          </cell>
          <cell r="T98" t="str">
            <v>JA PLEUCADEUC 1</v>
          </cell>
          <cell r="X98" t="str">
            <v>Déf 8 - 6</v>
          </cell>
          <cell r="Z98" t="str">
            <v>RAQ GUEGON 1</v>
          </cell>
          <cell r="AD98" t="str">
            <v>Déf 9 - 5</v>
          </cell>
          <cell r="AF98" t="str">
            <v>ES ST-AVE 2</v>
          </cell>
          <cell r="AJ98" t="str">
            <v>Vict 10 - 4</v>
          </cell>
          <cell r="AL98" t="str">
            <v>CTT MENIMUR 6</v>
          </cell>
          <cell r="AP98" t="str">
            <v>Nul 7 - 7</v>
          </cell>
          <cell r="AR98" t="str">
            <v>TT QUIBERON 1</v>
          </cell>
        </row>
        <row r="99">
          <cell r="E99">
            <v>10</v>
          </cell>
          <cell r="F99" t="str">
            <v>Vict 10 - 4</v>
          </cell>
          <cell r="H99" t="str">
            <v>LE FOLGOET/LESNEVEN 1</v>
          </cell>
          <cell r="L99" t="str">
            <v>Vict 10 - 4</v>
          </cell>
          <cell r="N99" t="str">
            <v>PLUNERET/MERIAD 1</v>
          </cell>
          <cell r="R99" t="str">
            <v>Vict 9 - 5</v>
          </cell>
          <cell r="T99" t="str">
            <v>FC ST-RAOUL 1</v>
          </cell>
          <cell r="X99" t="str">
            <v>Vict 12 - 2</v>
          </cell>
          <cell r="Z99" t="str">
            <v>AO ST-NOLFF 1</v>
          </cell>
          <cell r="AD99" t="str">
            <v>Déf 11 - 3</v>
          </cell>
          <cell r="AF99" t="str">
            <v>BAUD TT 1</v>
          </cell>
          <cell r="AJ99" t="str">
            <v>Vict 11 - 3</v>
          </cell>
          <cell r="AL99" t="str">
            <v>RAQ PEILLAC 1</v>
          </cell>
          <cell r="AP99" t="str">
            <v>Déf 10 - 4</v>
          </cell>
          <cell r="AR99" t="str">
            <v>AS ST PHILIBERT 2</v>
          </cell>
        </row>
        <row r="100">
          <cell r="E100">
            <v>11</v>
          </cell>
          <cell r="F100" t="str">
            <v>Déf 8 - 6</v>
          </cell>
          <cell r="H100" t="str">
            <v>AC PLERIN 3</v>
          </cell>
          <cell r="L100" t="str">
            <v>Nul 7 - 7</v>
          </cell>
          <cell r="N100" t="str">
            <v>CTT MENIMUR 2</v>
          </cell>
          <cell r="R100" t="str">
            <v>Déf 10 - 4</v>
          </cell>
          <cell r="T100" t="str">
            <v>TT PAYS LOCMINE 1</v>
          </cell>
          <cell r="X100" t="str">
            <v>Déf 9 - 5</v>
          </cell>
          <cell r="Z100" t="str">
            <v>ES PLESCOP TT 5</v>
          </cell>
          <cell r="AD100" t="str">
            <v>Vict 11 - 3</v>
          </cell>
          <cell r="AF100" t="str">
            <v>CTT MENIMUR 4</v>
          </cell>
          <cell r="AJ100" t="str">
            <v>Nul 7 - 7</v>
          </cell>
          <cell r="AL100" t="str">
            <v>FC ST-RAOUL 2</v>
          </cell>
          <cell r="AP100" t="str">
            <v>Déf 11 - 3</v>
          </cell>
          <cell r="AR100" t="str">
            <v>TT ERDEVEN-BELZ 1</v>
          </cell>
        </row>
        <row r="101">
          <cell r="E101">
            <v>12</v>
          </cell>
          <cell r="F101" t="str">
            <v>Nul 7 - 7</v>
          </cell>
          <cell r="H101" t="str">
            <v>RENNES TA 3</v>
          </cell>
          <cell r="L101" t="str">
            <v>Nul 7 - 7</v>
          </cell>
          <cell r="N101" t="str">
            <v>ASPTT VANNES 3</v>
          </cell>
          <cell r="R101" t="str">
            <v>Vict 8 - 6</v>
          </cell>
          <cell r="T101" t="str">
            <v>CTT MENIMUR 3</v>
          </cell>
          <cell r="X101" t="str">
            <v>Déf 8 - 6</v>
          </cell>
          <cell r="Z101" t="str">
            <v>US ST-ABRAHAM 2</v>
          </cell>
          <cell r="AD101" t="str">
            <v>Vict 8 - 6</v>
          </cell>
          <cell r="AF101" t="str">
            <v>PLUNERET/MERIAD 3</v>
          </cell>
          <cell r="AJ101" t="str">
            <v>Vict 11 - 3</v>
          </cell>
          <cell r="AL101" t="str">
            <v>JA PLEUCADEUC 3</v>
          </cell>
          <cell r="AP101" t="str">
            <v>Déf 9 - 5</v>
          </cell>
          <cell r="AR101" t="str">
            <v>AL PLOEMEUR 8</v>
          </cell>
        </row>
        <row r="102">
          <cell r="E102">
            <v>13</v>
          </cell>
          <cell r="F102" t="str">
            <v>Vict 12 - 2</v>
          </cell>
          <cell r="H102" t="str">
            <v>RENNES AVENIR 4</v>
          </cell>
          <cell r="L102" t="str">
            <v>Vict 10 - 4</v>
          </cell>
          <cell r="N102" t="str">
            <v>AJK VANNES 4</v>
          </cell>
          <cell r="R102" t="str">
            <v>Vict 13 - 1</v>
          </cell>
          <cell r="T102" t="str">
            <v>ASPTT VANNES 6</v>
          </cell>
          <cell r="X102" t="str">
            <v>Déf 8 - 6</v>
          </cell>
          <cell r="Z102" t="str">
            <v>BO QUESTEMBERT 2</v>
          </cell>
          <cell r="AD102" t="str">
            <v>Vict 9 - 5</v>
          </cell>
          <cell r="AF102" t="str">
            <v>TT RHUYS 2</v>
          </cell>
          <cell r="AJ102" t="str">
            <v>Vict 8 - 6</v>
          </cell>
          <cell r="AL102" t="str">
            <v>ARGOET STT 2</v>
          </cell>
          <cell r="AP102" t="str">
            <v>Déf 14 - 0</v>
          </cell>
          <cell r="AR102" t="str">
            <v>BAUD TT 3</v>
          </cell>
        </row>
        <row r="103">
          <cell r="E103">
            <v>14</v>
          </cell>
          <cell r="F103" t="str">
            <v>Vict 10 - 4</v>
          </cell>
          <cell r="H103" t="str">
            <v>RP FOUESNANT 5</v>
          </cell>
          <cell r="L103" t="str">
            <v>Vict 12 - 2</v>
          </cell>
          <cell r="N103" t="str">
            <v>L. PLOERMEL 3</v>
          </cell>
          <cell r="R103" t="str">
            <v>Déf 9 - 5</v>
          </cell>
          <cell r="T103" t="str">
            <v>BO QUESTEMBERT 1</v>
          </cell>
          <cell r="X103" t="str">
            <v>Nul 7 - 7</v>
          </cell>
          <cell r="Z103" t="str">
            <v>ASPTT VANNES 4</v>
          </cell>
          <cell r="AD103" t="str">
            <v>Déf 9 - 5</v>
          </cell>
          <cell r="AF103" t="str">
            <v>TT RHUYS 1</v>
          </cell>
          <cell r="AJ103" t="str">
            <v>Déf 9 - 5</v>
          </cell>
          <cell r="AL103" t="str">
            <v>SENE TT 3</v>
          </cell>
          <cell r="AP103" t="str">
            <v>Déf 14 - 0</v>
          </cell>
          <cell r="AR103" t="str">
            <v>GOLFETT PLOEREN 2</v>
          </cell>
        </row>
        <row r="104">
          <cell r="B104" t="str">
            <v>RENNES TA 3</v>
          </cell>
          <cell r="D104" t="str">
            <v>AC PLERIN 3</v>
          </cell>
          <cell r="E104">
            <v>2</v>
          </cell>
          <cell r="F104">
            <v>12</v>
          </cell>
          <cell r="H104" t="str">
            <v>MUZILLAC TT 2</v>
          </cell>
          <cell r="J104" t="str">
            <v>L. PLOERMEL 3</v>
          </cell>
          <cell r="K104">
            <v>12</v>
          </cell>
          <cell r="L104">
            <v>2</v>
          </cell>
          <cell r="N104" t="str">
            <v>MUZILLAC TT 3</v>
          </cell>
          <cell r="P104" t="str">
            <v>BO QUESTEMBERT 1</v>
          </cell>
          <cell r="Q104">
            <v>5</v>
          </cell>
          <cell r="R104">
            <v>9</v>
          </cell>
          <cell r="T104" t="str">
            <v>RAQ GUEGON 1</v>
          </cell>
          <cell r="V104" t="str">
            <v>AO ST-NOLFF 1</v>
          </cell>
          <cell r="W104">
            <v>8</v>
          </cell>
          <cell r="X104">
            <v>6</v>
          </cell>
          <cell r="Z104" t="str">
            <v>CTT MENIMUR 5</v>
          </cell>
          <cell r="AB104" t="str">
            <v>ES ST-AVE 2</v>
          </cell>
          <cell r="AC104">
            <v>9</v>
          </cell>
          <cell r="AD104">
            <v>5</v>
          </cell>
          <cell r="AF104" t="str">
            <v>FC ST-RAOUL 2</v>
          </cell>
          <cell r="AH104" t="str">
            <v>JA PLEUCADEUC 3</v>
          </cell>
          <cell r="AI104">
            <v>7</v>
          </cell>
          <cell r="AJ104">
            <v>7</v>
          </cell>
        </row>
        <row r="105">
          <cell r="B105" t="str">
            <v>RENNES AVENIR 4</v>
          </cell>
          <cell r="D105" t="str">
            <v>LE FOLGOET/LESNEVEN 1</v>
          </cell>
          <cell r="E105">
            <v>6</v>
          </cell>
          <cell r="F105">
            <v>8</v>
          </cell>
          <cell r="H105" t="str">
            <v>ASPTT VANNES 3</v>
          </cell>
          <cell r="J105" t="str">
            <v>US ST-ABRAHAM 1</v>
          </cell>
          <cell r="K105">
            <v>6</v>
          </cell>
          <cell r="L105">
            <v>8</v>
          </cell>
          <cell r="N105" t="str">
            <v>CTT MENIMUR 3</v>
          </cell>
          <cell r="P105" t="str">
            <v>ARGOET STT 1</v>
          </cell>
          <cell r="Q105">
            <v>9</v>
          </cell>
          <cell r="R105">
            <v>5</v>
          </cell>
          <cell r="T105" t="str">
            <v>L. PLOERMEL 4</v>
          </cell>
          <cell r="V105" t="str">
            <v>ES PLESCOP TT 5</v>
          </cell>
          <cell r="W105">
            <v>9</v>
          </cell>
          <cell r="X105">
            <v>5</v>
          </cell>
          <cell r="Z105" t="str">
            <v>TT RHUYS 1</v>
          </cell>
          <cell r="AB105" t="str">
            <v>MUZILLAC TT 5</v>
          </cell>
          <cell r="AC105">
            <v>9</v>
          </cell>
          <cell r="AD105">
            <v>5</v>
          </cell>
          <cell r="AF105" t="str">
            <v>RAQ PEILLAC 1</v>
          </cell>
          <cell r="AH105" t="str">
            <v>ARGOET STT 2</v>
          </cell>
          <cell r="AI105">
            <v>6</v>
          </cell>
          <cell r="AJ105">
            <v>8</v>
          </cell>
        </row>
        <row r="106">
          <cell r="B106" t="str">
            <v>RP FOUESNANT 5</v>
          </cell>
          <cell r="D106" t="str">
            <v>MUZILLAC TT 1</v>
          </cell>
          <cell r="E106">
            <v>4</v>
          </cell>
          <cell r="F106">
            <v>10</v>
          </cell>
          <cell r="H106" t="str">
            <v>CTT MENIMUR 2</v>
          </cell>
          <cell r="J106" t="str">
            <v>SENE TT 2</v>
          </cell>
          <cell r="K106">
            <v>12</v>
          </cell>
          <cell r="L106">
            <v>2</v>
          </cell>
          <cell r="N106" t="str">
            <v>TT PAYS LOCMINE 1</v>
          </cell>
          <cell r="P106" t="str">
            <v>JA PLEUCADEUC 1</v>
          </cell>
          <cell r="Q106">
            <v>10</v>
          </cell>
          <cell r="R106">
            <v>4</v>
          </cell>
          <cell r="T106" t="str">
            <v>ASPTT VANNES 4</v>
          </cell>
          <cell r="V106" t="str">
            <v>MUZILLAC TT 4</v>
          </cell>
          <cell r="W106">
            <v>7</v>
          </cell>
          <cell r="X106">
            <v>7</v>
          </cell>
          <cell r="Z106" t="str">
            <v>TT RHUYS 2</v>
          </cell>
          <cell r="AB106" t="str">
            <v>CTT MENIMUR 4</v>
          </cell>
          <cell r="AC106">
            <v>4</v>
          </cell>
          <cell r="AD106">
            <v>10</v>
          </cell>
          <cell r="AF106" t="str">
            <v>MUZILLAC TT 6</v>
          </cell>
          <cell r="AH106" t="str">
            <v>SENE TT 3</v>
          </cell>
          <cell r="AI106">
            <v>5</v>
          </cell>
          <cell r="AJ106">
            <v>9</v>
          </cell>
        </row>
        <row r="107">
          <cell r="B107" t="str">
            <v>TT LA BAIE YFFINIAC 1</v>
          </cell>
          <cell r="D107" t="str">
            <v>CPB RENNES RAPATEL 2</v>
          </cell>
          <cell r="E107">
            <v>7</v>
          </cell>
          <cell r="F107">
            <v>7</v>
          </cell>
          <cell r="H107" t="str">
            <v>PLUNERET/MERIAD 1</v>
          </cell>
          <cell r="J107" t="str">
            <v>AJK VANNES 4</v>
          </cell>
          <cell r="K107">
            <v>9</v>
          </cell>
          <cell r="L107">
            <v>5</v>
          </cell>
          <cell r="N107" t="str">
            <v>FC ST-RAOUL 1</v>
          </cell>
          <cell r="P107" t="str">
            <v>ASPTT VANNES 6</v>
          </cell>
          <cell r="Q107">
            <v>13</v>
          </cell>
          <cell r="R107">
            <v>1</v>
          </cell>
          <cell r="T107" t="str">
            <v>BO QUESTEMBERT 2</v>
          </cell>
          <cell r="V107" t="str">
            <v>US ST-ABRAHAM 2</v>
          </cell>
          <cell r="W107">
            <v>6</v>
          </cell>
          <cell r="X107">
            <v>8</v>
          </cell>
          <cell r="Z107" t="str">
            <v>PLUNERET/MERIAD 3</v>
          </cell>
          <cell r="AB107" t="str">
            <v>BAUD TT 1</v>
          </cell>
          <cell r="AC107">
            <v>6</v>
          </cell>
          <cell r="AD107">
            <v>8</v>
          </cell>
          <cell r="AF107" t="str">
            <v>ES ST-AVE 1</v>
          </cell>
          <cell r="AH107" t="str">
            <v>CTT MENIMUR 6</v>
          </cell>
          <cell r="AI107">
            <v>10</v>
          </cell>
          <cell r="AJ107">
            <v>4</v>
          </cell>
        </row>
        <row r="109">
          <cell r="F109">
            <v>7</v>
          </cell>
          <cell r="L109">
            <v>7</v>
          </cell>
          <cell r="R109">
            <v>7</v>
          </cell>
          <cell r="X109">
            <v>7</v>
          </cell>
          <cell r="AD109">
            <v>7</v>
          </cell>
          <cell r="AJ109">
            <v>7</v>
          </cell>
        </row>
        <row r="110">
          <cell r="F110">
            <v>7</v>
          </cell>
          <cell r="L110">
            <v>7</v>
          </cell>
          <cell r="R110">
            <v>7</v>
          </cell>
          <cell r="X110">
            <v>7</v>
          </cell>
          <cell r="AD110">
            <v>6</v>
          </cell>
          <cell r="AJ110">
            <v>6</v>
          </cell>
        </row>
        <row r="150">
          <cell r="E150">
            <v>7</v>
          </cell>
          <cell r="F150">
            <v>6</v>
          </cell>
          <cell r="G150">
            <v>13</v>
          </cell>
          <cell r="H150">
            <v>7</v>
          </cell>
          <cell r="I150">
            <v>5</v>
          </cell>
          <cell r="J150">
            <v>12</v>
          </cell>
          <cell r="K150">
            <v>5</v>
          </cell>
          <cell r="L150">
            <v>7</v>
          </cell>
          <cell r="M150">
            <v>12</v>
          </cell>
          <cell r="N150">
            <v>4</v>
          </cell>
          <cell r="O150">
            <v>5</v>
          </cell>
          <cell r="P150">
            <v>9</v>
          </cell>
          <cell r="Q150">
            <v>7</v>
          </cell>
          <cell r="R150">
            <v>4</v>
          </cell>
          <cell r="S150">
            <v>11</v>
          </cell>
          <cell r="T150">
            <v>7</v>
          </cell>
          <cell r="U150">
            <v>4</v>
          </cell>
          <cell r="V150">
            <v>11</v>
          </cell>
          <cell r="W150">
            <v>2</v>
          </cell>
          <cell r="X150">
            <v>3</v>
          </cell>
          <cell r="Y150">
            <v>5</v>
          </cell>
          <cell r="Z150">
            <v>1</v>
          </cell>
          <cell r="AA150">
            <v>2</v>
          </cell>
          <cell r="AB150">
            <v>3</v>
          </cell>
          <cell r="AC150">
            <v>3</v>
          </cell>
          <cell r="AD150">
            <v>4</v>
          </cell>
          <cell r="AE150">
            <v>7</v>
          </cell>
          <cell r="AF150">
            <v>2</v>
          </cell>
          <cell r="AG150">
            <v>4</v>
          </cell>
          <cell r="AH150">
            <v>6</v>
          </cell>
          <cell r="AI150">
            <v>6</v>
          </cell>
          <cell r="AJ150">
            <v>6</v>
          </cell>
          <cell r="AK150">
            <v>12</v>
          </cell>
          <cell r="AL150">
            <v>6</v>
          </cell>
          <cell r="AM150">
            <v>5</v>
          </cell>
          <cell r="AN150">
            <v>11</v>
          </cell>
          <cell r="AO150">
            <v>6</v>
          </cell>
          <cell r="AP150">
            <v>1</v>
          </cell>
          <cell r="AQ150">
            <v>7</v>
          </cell>
          <cell r="AR150">
            <v>6</v>
          </cell>
          <cell r="AS150">
            <v>0</v>
          </cell>
          <cell r="AT150">
            <v>6</v>
          </cell>
          <cell r="AU150">
            <v>0</v>
          </cell>
          <cell r="AV150">
            <v>2</v>
          </cell>
          <cell r="AW150">
            <v>2</v>
          </cell>
          <cell r="AX150">
            <v>0</v>
          </cell>
          <cell r="AY150">
            <v>1</v>
          </cell>
          <cell r="AZ150">
            <v>1</v>
          </cell>
        </row>
      </sheetData>
      <sheetData sheetId="15">
        <row r="3">
          <cell r="K3" t="str">
            <v>59 victoires et 10 matchs nuls sur 101 rencontres disputées .(68 %)</v>
          </cell>
        </row>
        <row r="4">
          <cell r="L4" t="str">
            <v>748 victoires sur 1305 simples disputés (57,3 %)</v>
          </cell>
        </row>
        <row r="5">
          <cell r="L5" t="str">
            <v>94 doubles gagnés sur 190 disputés (49,5 %)</v>
          </cell>
        </row>
        <row r="7">
          <cell r="L7" t="str">
            <v>4 joueurs ont disputé toutes les journées.</v>
          </cell>
        </row>
        <row r="8">
          <cell r="L8" t="str">
            <v>42 joueurs ont participé au moins à une rencontre.</v>
          </cell>
        </row>
        <row r="14">
          <cell r="K14" t="str">
            <v>Phase 1:</v>
          </cell>
          <cell r="N14" t="str">
            <v>Phase 2 :</v>
          </cell>
        </row>
        <row r="15">
          <cell r="K15">
            <v>1.0000098008218024</v>
          </cell>
          <cell r="L15" t="str">
            <v>Bousseau Yannick</v>
          </cell>
          <cell r="M15">
            <v>1.0000001421551024</v>
          </cell>
          <cell r="N15" t="str">
            <v>Brient Jean-François</v>
          </cell>
        </row>
        <row r="16">
          <cell r="K16">
            <v>1.0000069799952187</v>
          </cell>
          <cell r="L16" t="str">
            <v>Zaragoza José</v>
          </cell>
          <cell r="M16">
            <v>0.94445173013348094</v>
          </cell>
          <cell r="N16" t="str">
            <v>Roszak Clément</v>
          </cell>
        </row>
        <row r="17">
          <cell r="K17">
            <v>1.0000042725449085</v>
          </cell>
          <cell r="L17" t="str">
            <v>Brient Jean-François</v>
          </cell>
          <cell r="M17">
            <v>0.91666701951497476</v>
          </cell>
          <cell r="N17" t="str">
            <v>Faulkner Thierry</v>
          </cell>
        </row>
        <row r="18">
          <cell r="K18" t="str">
            <v>Global :</v>
          </cell>
          <cell r="L18" t="str">
            <v>Brient Jean-François</v>
          </cell>
        </row>
        <row r="19">
          <cell r="L19" t="str">
            <v>Zaragoza José</v>
          </cell>
        </row>
        <row r="20">
          <cell r="L20" t="str">
            <v>Flégeau Matthieu</v>
          </cell>
        </row>
        <row r="24">
          <cell r="R24" t="str">
            <v>journée 1</v>
          </cell>
          <cell r="S24" t="str">
            <v>Premier match de la saison, et de l'histoire au niveau régional pour le club.
Pour cette première journée nous avons Jeff (20) Yann (17) Nico(15) Clem (14)
Nous rencontrons une équipe de Plémet qui ne s'est pas déplacée au complet, constitué de 1492 1418 1231 1177 .
Nous sommes bien devant sur le papier mais nous comptons dans nos rangs des joueurs avec une seule à 3 séances d'entrainement uniquement précédent le match.
Pour une première sous nos couleur Jeff réalise le sans faute, de manière expéditive, il ne restait pas très longtemps dans les aires de jeu donc très présent dans le coaching comme dans les encouragement, et fait donc 3/3 + double avec Nico
Clément, bien qu'accroché et étant poussé à la belle à deux reprises s'impose en réalisant une perf sur 1492 au passage. Il a montré un très bon niveau de jeu. 3/3 + double avec Yann.
Nico s'impose relativement facilement dans ses deux premiers match ( malgrès quelques frayeurs contre une plaque étrange ..) et s'impose à la belle sur le 1492. 3/3 + double avec Jeff.
Yann, en manque de temps de jeu doit concéder un match, il réctifie rapidement le tir et gagne facilement les deux matchs suivants avec la manière 2/3 + double avec Clem.
Au bilan, victoire 13/1 , à souligner la présence des spectateurs qui n'ont pas manqués d'encouragements, c'était vraiment très plaisant. Casse-croûte un peu tôt ( 17h) avec une équipe sympa de Plemet.</v>
          </cell>
          <cell r="T24" t="str">
            <v>Départ bien assuré !</v>
          </cell>
        </row>
        <row r="25">
          <cell r="K25">
            <v>2056.056</v>
          </cell>
          <cell r="R25" t="str">
            <v>journée 2</v>
          </cell>
          <cell r="S25" t="str">
            <v>Encore un match sans notre capitaine !
L'équipe en face présente : 14 14 14 et gros 13. La tache s'annonce pas si évidente que ca avec un Yann toujours en manque de temps de jeu, Nico avec la crève et peu de temps aussi de jeu, Christophe notre remplaçant de fortune assez loin sur le papier.
Dur dur pour Christophe qui s'est bien battu et méritait au moins une perf avec plus d'habitude d'adversaires de ce niveau : 0/3 ( et pourtant 7 balles de match en double avec Yann !)
Yann qui ne s'est toujours pas réentrainé doit concéder un match contre un 14 au jeu assez spécial. 2/3
Jeff toujours avec facilité, bien qu'ayant laché un set dans la journée et quelque peu accroché. 3/3 + double avec Nico ( la paire commence à se roder )
Nico, assez facile contre les deux 14, mais accroché à la belle sur le 13. 3/3 + double
Bilan : Victoire 9/5 ! A quand le retour de capitaine ?</v>
          </cell>
          <cell r="T25" t="str">
            <v>Victoire dans l'étuve de la TA !</v>
          </cell>
        </row>
        <row r="26">
          <cell r="K26">
            <v>1518.09</v>
          </cell>
          <cell r="R26" t="str">
            <v>journée 3</v>
          </cell>
          <cell r="T26" t="str">
            <v>Victoire sans trop d'émotions !</v>
          </cell>
        </row>
        <row r="27">
          <cell r="K27">
            <v>1546.0830000000001</v>
          </cell>
          <cell r="R27" t="str">
            <v>journée 4</v>
          </cell>
          <cell r="S27" t="str">
            <v>Direction Vitré pour ce match de championnat. Nous partons sans Yann (plongé dans ses cahiers) mais avec Julien Mierzwa qui a répondu au pied levé ! Après un restaurant aux gérants aussi aimable qu’une surveillante de prison pendant ces ragnagna….. , des pâtes carbo mal, ou même non-digérées pour Jeff et Nico. Nous arrivons donc dans la salle spécifique, quelque peu glissante et frisquette (on s’est pris pour Candeloro dans ces conditions). Matt se fait peur sur le 13 en étant mené 2/1 mais comme d’hab il règle le tir et s’impose à la belle, pendant le même  temps Julien s’impose dans son match, tout commence pour le mieux. Nico manque la perf à 16 de pas grand-chose, la réussite avait clairement choisit son côté dans ce match mais c’est aussi pour ce genre de moment qu’on fait du ping la priorité, la raison de vivre, la raison de se lever le matin, &lt;3 ! Pendant ce temps-là Jeff se balade, ou plutôt fait se balader son adversaires, de séparations en séparation et s’impose 3/0.Turnover, Jeff s’impose contre le 16 3/1, quelque peu accroché et toujours autant de réussite du côté de ce joueur (soulignons qu’il jouait tout de même de fort belle manière) mais GEFF se bat, pour la patrie, c’est un bon garenne le pépère ! Juju s’incline 3/1 contre le 13, la perf était jouable, trop d’entrainement sûrement Julien ? ou la pizza du midi ?
Matt, peinard, bat le plus faible de leur joueur. Soulignons ce qui est clairement soulignable, Matt n’a pas gêné son partenaire de double (Jeff) et oui … étonnant !
Nico, … en qualité de show man, mène 2/0 contre le gros 15, et puis .. bah voilà quoi pan ! on est à la belle 9/9, ( pendant ce temps écoulé, quelques balles hautes) , pof la réussite qui arrive et hop 10/9 avec un sacré filet bord, bim victoire qui suit, c’est aussi pour ce genre de moment qu’on fait du ping la priorité, la raison de vivre, la raison de se lever le matin, &lt;3 ! Pendant ce temps-là Jeff se balade, ou plutôt fait se balader son adversaires, de séparations en séparation. ( la répétition est voulu ;) )
Bref ca devient long là, le croustillant a été raconté, et si vous voulez en savoir plus bah fallait venir !
Jeff 3/3 + double Matt 3/3 + double Nico 2/3 + double Juju 1/3 + double ( Merci Juju qui a fait bien plus que dépanner ! )
Un commentaire assez libéré je crois mais significatif de cette équipe je pense, une équipe dans laquelle il fait bon vivre, rigoler, et gagner, jusqu’ici tout va bien ! On est tous copains je crois ou alors on fait bien semblant ! Affaire à suivre !</v>
          </cell>
          <cell r="T27" t="str">
            <v>C'est gagné,gagné,gagné !</v>
          </cell>
        </row>
        <row r="28">
          <cell r="K28">
            <v>1740.095</v>
          </cell>
          <cell r="R28" t="str">
            <v>journée 5</v>
          </cell>
          <cell r="S28" t="str">
            <v>Désolé pour le retard. Dimanche dernier, même au complet l AK n aurait pas pese bien lourd face à notre Armada qui évolue en roue libre depuis le début du championnat. En effet 2 joueurs absents, 1 equipe plus qu a notre portée nous rapprochaient encore un peu plus vers le graal . 12 a 2, 2h30 de jeu, dont un double de perdu, un seul d entre eux nous a inquiété le fameux Alexandre David qui bat Nico sans véritablement de fair play, qui inquiète quelque peu mathieu de part ses coups à la désespérados. C est à peu près tout, par contre lors de la prochaine journée, il y aura matière à commenter je pense. Hennebont est le match de montée. Sans vouloir mettre de pression , nous aurons fort à faire pour l emporter alors mobilisons nous . Resserrons les les rangs et rendons nous en terre gardiste et commençons ensemble à écrire l histoire du ping muzillacais en Bretagne.</v>
          </cell>
          <cell r="T28" t="str">
            <v>Sans discussion possible</v>
          </cell>
        </row>
        <row r="29">
          <cell r="K29">
            <v>1744.0429999999999</v>
          </cell>
          <cell r="R29" t="str">
            <v>journée 6</v>
          </cell>
          <cell r="S29" t="str">
            <v>Direction Hennebont pour le match de la montée, avec un Yannos sentant à peine le vin : la chance est avec nous ! Trois équipes jouent dans la salle, ce qui implique de petites aires de jeux, et quelques difficultées à s'échauffer. Mais on a aussi pu apprécier le jeux des équipes de R1 et PN qui jouaient à côté de nous. Au niveau classement :
Jeff (N°950), Yann (17), TyMat (17), Nico (15) contre Hennebont : Dominique (16), Jeremy (15), Maxence (11), Kévin (7). On part donc favori dans cette rencontre, mais méfions nous d'Hennebont... Premier match difficile pour moi, car je perds Dominique à la belle. Il est en forme car il gagnera aussi Nico à la belle quelques minutes plus tard. Seul Jeff arrivera à l'arrêter, toujours à la belle... Jérémy est aussi en forme, puisqu'il emmène Jeff à la belle (encore !), mais l'expérience finira par payer. RAS dans les autres matchs, quelques sueurs contre Maxence TCHOUU ! , qui joue TCHALLEZ !!! bien, et TCOUBAAAAAAAAAA !!!! s'encourage MAIS ALLEZ M***E !!! allègrement MAIS HEU, YA RIEN DANS SON SERVICE ! Victoire finale 12 à 2, devant un public en délire (Christophe, Youen et Franck. Ce dernier n'est pas fou, il est venu avec l'Auto Journal et le journal l'Equipe). Champagne, gonzesses, Hennebont avait tout prévu dans l'espace VIP pour fêter la montée du club en R2 !!!! Merci les gars !
TyMat</v>
          </cell>
          <cell r="T29" t="str">
            <v>La R2 est dans la poche !</v>
          </cell>
        </row>
        <row r="30">
          <cell r="K30" t="str">
            <v/>
          </cell>
          <cell r="R30" t="str">
            <v>journée 7</v>
          </cell>
          <cell r="S30" t="str">
            <v>On est en R2 ! On est en R2 !!! Voilà, ça c'est fait. Maintenant, il va falloir disputer la dernière rencontre de la saison en trouvant suffisamment de motivation... Jeff sera sur le banc des spectateurs, et nous alignons Yann, Nico, Clem et moi, contre 7 îles Perros composée de Jérôme (14), Nathan (13), Mathis (12), et Yaël (9). Premier match perdu pour moi contre Nathan, qui joue très bien, et ne sera pas venu pour rien car il gagnera aussi Yann un peu plus tard. Seul Nico le passera assez facilement. Clément n'est pas au top non plus niveau motivation, et il chutera sur Mathis et Jérôme. Bravo donc aux joueurs de Perros pour leurs belles perfs, il y en aura d'autres ! Casse croûte briochées dans le Club House du tennis (...), où nous avons pû admirer les matchs de D2, du tennis justement. Ils sont en D2, mais s'ils étaient pongiste, ils seraient au moins en N2 parce que le ping, c'est plus facile. A vendredi pour fêter dignement la fin de la phase !!! That´s all ! (Elle est pour toi celle là Nico).</v>
          </cell>
          <cell r="T30" t="str">
            <v>De beaux matchs pour finir 2014</v>
          </cell>
        </row>
        <row r="31">
          <cell r="K31" t="str">
            <v/>
          </cell>
          <cell r="R31" t="str">
            <v>journée 8</v>
          </cell>
          <cell r="S31" t="str">
            <v>Premier match de régionale 2 pour Muzizi, avec une envie de bien faire pour l’équipe (et pourquoi pas la montée en fin de phase !). Yann, notre jeune poulain, ne pourra être présent car il a une petite soirée le samedi soir (ou plutôt une grosse chouille), et ça risque d’être difficile de voir la balle à 14 h 00 le lendemain.
Jerem est donc venu en renfort, complétant l’équipe : Jeff, Nico et moi-même. En face, Rennes ne viendra pas avec son équipe complète : Sébastien (15), Thomas (14), Claire (13), et Mickaël (13). Sur le papier, c’est donc largement jouable…
Dans les faits, il faut rester concentré, mais tous nos matchs seront gagnés (sauf un double), sans aller à la belle. Il y a eu quelques doutes, avec le regard déstabilisant de Sébastien au service ; ou des incompréhensions, comme Nico qui « J’la sens dingue !!! » et « J’suis injouable ! », mais concèdera un set juste après. Jerem déroule, c’est tranquille la R2.
Score final de 14 à 0. Un bon début, mais au vu des compos d’équipes de certains adversaires de la poule, il faudra rester lucide, et bien préparer ses matchs.
Merci aux spectateurs - rangeurs de salle, venus aussi nombreux que possible dans cette petite salle, qui commence quand même à être la nôtre.
TyMat</v>
          </cell>
          <cell r="T31" t="str">
            <v>Une seule belle face au CPB Rapatel !</v>
          </cell>
        </row>
        <row r="32">
          <cell r="K32" t="str">
            <v/>
          </cell>
          <cell r="R32" t="str">
            <v>journée 9</v>
          </cell>
          <cell r="T32" t="str">
            <v>27ème victoire d'affilée ! Belle série en cours…</v>
          </cell>
        </row>
        <row r="33">
          <cell r="K33" t="str">
            <v/>
          </cell>
          <cell r="R33" t="str">
            <v>journée 10</v>
          </cell>
          <cell r="S33" t="str">
            <v>Direction Lesneven en ce beau dimanche ensoleillé du mois de février. Petit passage à Muzizi pour charger le bon Jeff (un peu dans le coltar) dans la voiture, arrêt à Leroy Merlin pour prendre Yannos (qui a les crocs), pour arriver à Brest quelques heures plus tard afin de retrouver Kilian, et manger un bout dans le centre.
Bon, le match… En face de nous, Joseph (18), Nicolas (16), Yoann (14), Delphine (13). On part donc favori, et ça tombe bien car on est là pour gagner.
Pour la faire courte, on perd tous un match (et le double avec Kiki), sauf Jeff qui gagnera sur Joseph à la belle. Yann et moi butteront donc sur la tête d’affiche du Folgoët – Lesneven, qui faisait vraiment peur à la table (voir la photo). On se doit d’ailleurs de porter réclamation, car la tenue n’était pas réglementaire, même pour un guerrier rebelle du Nord-Finistère. Kilian chutera contre Nicolas, mais rapportera quand même deux point à l’équipe, donc bravo.
Le match terminé, on boit un coup avec le très bon public du club, puis commence le casse-croûte où Yann s’enfilera une baguette entière (par le bon côté, je vous rassure). On aura aussi le droit à des crêpes (38 exactement), tarte aux poires/chocolat et tarte aux pommes préparées par Joseph.
Voilà, c’était loin, mais on est content d’être venu…
TyMat</v>
          </cell>
        </row>
        <row r="34">
          <cell r="M34">
            <v>8</v>
          </cell>
          <cell r="N34">
            <v>14</v>
          </cell>
          <cell r="R34" t="str">
            <v>journée 11</v>
          </cell>
          <cell r="S34" t="str">
            <v>C’est parti pour la rencontre la plus importante de cette deuxième phase : le match de montée contre Plérin !
Etant blessé à l’épaule, c’est Jérem qui relève le défi en intégrant l’équipe, avec Jeff, Nico et Yann.
Plérin aligne leur équipe au complet, avec les frangins Bourget (Baptiste 19, Martin 16 et Clément 16) et Jérémie 17.
Ca va être chaud, d’autant plus que de nombreux supporters du club sont présents. La première partie de la rencontre est à notre avantage, avec trois belles gagnées et un niveau de jeu plutôt élevé ! On gagne donc 5 à 3 avant les doubles, ce qui laisse entrevoir un score favorable pour la fin de la rencontre. Malheureusement, nous perdons les deux doubles, et il faudra faire la différence sur les 4 matchs restants. Jeff ramène un point supplémentaire (100 % de victoire), mais ça ne sera pas suffisant. Nico chutera sur Martin, et Jérem et Yann perdront finalement à la belle (encore !), pour finir sur le score de 8 à 6.
Victoire des joueurs de Plérin qui s’amuseront sûrement en R1 l’année prochaine, et que l’on compte bien rejoindre dès que possible.
Merci aux supporters venus très nombreux nous encourager, et bravo aux joueurs qui ont fait le spectacle et qui se sont jamais avoué vaincu !
tyMat</v>
          </cell>
          <cell r="T34" t="str">
            <v>Il fallait un vainqueur !"Gros match"</v>
          </cell>
        </row>
        <row r="35">
          <cell r="R35" t="str">
            <v>journée 12</v>
          </cell>
          <cell r="S35" t="str">
            <v>Direction Rennes pour ce match, un Macdo et c’est parti ( quelle idée Yann ! )
Il n’est pas démesuré de dire que l’ambiance n’est pas comme d’habitude .Le match de la semaine dernière à laissé des traces et la motivation n’est là pour personne, d’autant plus que capt’ain Mat est toujours blessé.
Pas d’espace pour s’entrainer, chauffage à bloc, pas de rebonds, ca s’annonce très compliqué et ca va se confirmer. Les premiers match nous amène à 5/5, Jeff 2/2 ( 13 et gros 17) , Yann 0/2 ( 13 et 17) Jerem 0/2 ( 13 et 17) Nico 2/2 ( 16 et 13). Les matchs ne sont pas beaux à voir, et les sensations et le plaisir absent. La paire Jeff/Nico s’impose 3/0 en double mais Jerem/Yann échoue et perd 3/1. On en est à 6/6 dur dur, et vu la forme du jour on se dirige vers un 7/7, c'est chose faite…
Au bilan
Jeff 3/3 + double
Nico 2/3 + double
Yann 1/3
Jerem 0/3
Match NUL, mais bien bien bien nul quoi .. un dimanche à oublier !         ndlr : Encore un peu la gueule de bois</v>
          </cell>
          <cell r="T35" t="str">
            <v>Encore un peu la gueule de bois !</v>
          </cell>
        </row>
        <row r="36">
          <cell r="R36" t="str">
            <v>journée 13</v>
          </cell>
        </row>
        <row r="37">
          <cell r="R37" t="str">
            <v>journée 14</v>
          </cell>
          <cell r="S37" t="str">
            <v>Le nouveau survètement a été étrenné sous le beau soleil de Fouesnant !</v>
          </cell>
          <cell r="T37" t="str">
            <v>Une petite dernière pour 2014-2015 en attendant ...</v>
          </cell>
        </row>
        <row r="38">
          <cell r="B38">
            <v>1</v>
          </cell>
          <cell r="C38" t="str">
            <v>AC PLERIN 3</v>
          </cell>
          <cell r="D38">
            <v>21.000096948836568</v>
          </cell>
          <cell r="E38">
            <v>7</v>
          </cell>
          <cell r="F38">
            <v>7</v>
          </cell>
          <cell r="G38">
            <v>0</v>
          </cell>
          <cell r="H38">
            <v>0</v>
          </cell>
          <cell r="I38">
            <v>77</v>
          </cell>
          <cell r="J38">
            <v>21</v>
          </cell>
        </row>
        <row r="39">
          <cell r="B39">
            <v>2</v>
          </cell>
          <cell r="C39" t="str">
            <v>MUZILLAC TT 1</v>
          </cell>
          <cell r="D39">
            <v>18.000066441992033</v>
          </cell>
          <cell r="E39">
            <v>7</v>
          </cell>
          <cell r="F39">
            <v>5</v>
          </cell>
          <cell r="G39">
            <v>1</v>
          </cell>
          <cell r="H39">
            <v>1</v>
          </cell>
          <cell r="I39">
            <v>68</v>
          </cell>
          <cell r="J39">
            <v>30</v>
          </cell>
        </row>
        <row r="40">
          <cell r="B40">
            <v>3</v>
          </cell>
          <cell r="C40" t="str">
            <v>RENNES TA 3</v>
          </cell>
          <cell r="D40">
            <v>16.00001179485697</v>
          </cell>
          <cell r="E40">
            <v>7</v>
          </cell>
          <cell r="F40">
            <v>3</v>
          </cell>
          <cell r="G40">
            <v>3</v>
          </cell>
          <cell r="H40">
            <v>1</v>
          </cell>
          <cell r="I40">
            <v>49</v>
          </cell>
          <cell r="J40">
            <v>49</v>
          </cell>
        </row>
        <row r="41">
          <cell r="B41">
            <v>4</v>
          </cell>
          <cell r="C41" t="str">
            <v>LE FOLGOET/LESNEVEN 1</v>
          </cell>
          <cell r="D41">
            <v>15.000012378984755</v>
          </cell>
          <cell r="E41">
            <v>7</v>
          </cell>
          <cell r="F41">
            <v>4</v>
          </cell>
          <cell r="G41">
            <v>0</v>
          </cell>
          <cell r="H41">
            <v>3</v>
          </cell>
          <cell r="I41">
            <v>45</v>
          </cell>
          <cell r="J41">
            <v>53</v>
          </cell>
        </row>
        <row r="42">
          <cell r="B42">
            <v>5</v>
          </cell>
          <cell r="C42" t="str">
            <v>RP FOUESNANT 5</v>
          </cell>
          <cell r="D42">
            <v>11.000051023503774</v>
          </cell>
          <cell r="E42">
            <v>7</v>
          </cell>
          <cell r="F42">
            <v>2</v>
          </cell>
          <cell r="G42">
            <v>0</v>
          </cell>
          <cell r="H42">
            <v>5</v>
          </cell>
          <cell r="I42">
            <v>43</v>
          </cell>
          <cell r="J42">
            <v>55</v>
          </cell>
        </row>
        <row r="43">
          <cell r="B43" t="str">
            <v>-</v>
          </cell>
          <cell r="C43" t="str">
            <v>RENNES AVENIR 4</v>
          </cell>
          <cell r="D43">
            <v>11.00003133503364</v>
          </cell>
          <cell r="E43">
            <v>7</v>
          </cell>
          <cell r="F43">
            <v>1</v>
          </cell>
          <cell r="G43">
            <v>2</v>
          </cell>
          <cell r="H43">
            <v>4</v>
          </cell>
          <cell r="I43">
            <v>39</v>
          </cell>
          <cell r="J43">
            <v>59</v>
          </cell>
        </row>
        <row r="44">
          <cell r="B44" t="str">
            <v>-</v>
          </cell>
          <cell r="C44" t="str">
            <v>TT LA BAIE YFFINIAC 1</v>
          </cell>
          <cell r="D44">
            <v>11.000003530640576</v>
          </cell>
          <cell r="E44">
            <v>7</v>
          </cell>
          <cell r="F44">
            <v>1</v>
          </cell>
          <cell r="G44">
            <v>2</v>
          </cell>
          <cell r="H44">
            <v>4</v>
          </cell>
          <cell r="I44">
            <v>37</v>
          </cell>
          <cell r="J44">
            <v>61</v>
          </cell>
        </row>
        <row r="45">
          <cell r="B45">
            <v>7</v>
          </cell>
          <cell r="C45" t="str">
            <v>CPB RENNES RAPATEL 2</v>
          </cell>
          <cell r="D45">
            <v>9.0000330260242425</v>
          </cell>
          <cell r="E45">
            <v>7</v>
          </cell>
          <cell r="F45">
            <v>0</v>
          </cell>
          <cell r="G45">
            <v>2</v>
          </cell>
          <cell r="H45">
            <v>5</v>
          </cell>
          <cell r="I45">
            <v>34</v>
          </cell>
          <cell r="J45">
            <v>64</v>
          </cell>
        </row>
        <row r="47">
          <cell r="R47" t="str">
            <v>journée 1</v>
          </cell>
          <cell r="S47" t="str">
            <v xml:space="preserve">Nous voici repartis pour une nouvelle saison. MTT 2 composée de Youen(8),Sacha(8),Franck(9) et Manu(9) face à l'équipe de......MuzillacTT4 composée de Michel(9),Réginald(8),Luc(10) et Benjamin(9). Pas facile de jouer contre les copains mais bon,pas le choix. Début de match fulgurant puisque nous alignons 7 points d'affilés pour arrivés aux doubles sur le score de 7/1. Franck et Moi gagnons Michel et Réginald, Youen gagne face à Benjamin et Luc(10:perf). Sacha commence par Luc et l'emporte lui aussi mais cale face à Benjamin. Le double composé de Franck et Youen est perdu contre Michel et Luc mais la paire Sacha et Manu gagne contre Réginald et Benjamin. Youpi Match gagné (8/2). Pour les match à venir,il faudra garder le mental puisque à part Franck qui gagne contre Luc (aie.aie.aie),Sacha,Youen et moi-même perdons nos derniers matchs. Score final 9 à 5 pour MTT 2. Bravo à toute l'équipe. </v>
          </cell>
          <cell r="T47" t="str">
            <v>Et c'est MTT qui a gagné !</v>
          </cell>
        </row>
        <row r="48">
          <cell r="K48">
            <v>1031.086</v>
          </cell>
          <cell r="R48" t="str">
            <v>journée 2</v>
          </cell>
          <cell r="S48" t="str">
            <v>Match très équilibré, avec les jeunes pousses qui montent : Mathis, Sacha et Youen !! 
Par ailleurs entre anciens, j'ai pris le dessus, et Franck a fait le boulot en battant Mathis au 5ème set dans le dernier match (chaud).
Le match était pour nous car en fin de rencontre, j'ai mené 2 à zéro contre X (désolé),
je me fais remonter à 2-2 et je mène dans le 5ème set : 5 à zéro puis 6 à 2 et
je perds 11 à 9 sur une balle dans le filet (rageant !)...</v>
          </cell>
          <cell r="T48" t="str">
            <v>c'était pourtant possible !</v>
          </cell>
        </row>
        <row r="49">
          <cell r="K49">
            <v>872.02200000000005</v>
          </cell>
          <cell r="R49" t="str">
            <v>journée 3</v>
          </cell>
          <cell r="S49" t="str">
            <v xml:space="preserve">Bon bah voilà, première fessée déculottée pour MTT 2 composée de Sacha(8),Youen(8), Franck et Manu(9) face à l'équipe de Questembert 1 composée de Julien(11),Gérald(11),Simon(?) et Eric(8). Sacha fini les fesses à l'air puisqu'il ne marque pas de point malgré de beaux matchs dont un contre Eric qu'il aura poussé jusqu'à la belle, mais qui se termine en faveur de Questembert. Youen et Manu terminent eux en slip, marquant chacun 1 point et se craquant tout les deux à la belle sur Gérald (son picot a fait mal). Franck quant à lui garde sa culotte et son jogging en marquant 2 points face à Simon et Gérald (perf à 11). Les doubles Youen/Franck et Sacha/Manu sont perdus malgré une résistance de ce dernier. Score final 4/10, aie ça fait mal, trop de belles perdues. Le prochain match, Jogging pour tout le monde avec ceinture et brettelles .Fin de soirée au club House avec nos tortionnaires sympathiques autour d'un bon casse croute accompagné des deux D2 de Muzillac. </v>
          </cell>
          <cell r="T49" t="str">
            <v>Défaite logique mais un peu sévère</v>
          </cell>
        </row>
        <row r="50">
          <cell r="K50">
            <v>1426.087</v>
          </cell>
          <cell r="R50" t="str">
            <v>journée 4</v>
          </cell>
          <cell r="S50" t="str">
            <v xml:space="preserve">Vioci MTT2 reprati puor ctete 4ème juornée de chaimponinat :Frnack,Sahca,Yoeun et Mnau (9-8-8-9) face à l'éqiupe de L'asptt Vanens copmosée de Pacsal,Alain,Silvye et Oiliver (10-10-9-10). Bon sur le Papeir nuos somems en desosus mias conniasasnt les copians je sias que nuos puovnos le fiare. Merde mon clavier déconne, ca y est le tir est rectifié .Alors nous commençons Franck et moi face à Alain et Pascal pour arriver sur le score de 1à1 (Franck marque le point pendant que moi "le gros moteur à mazout" commence à chauffer ou est-ce la frustration d'avoir attendu sur le port pendant 2 heures ?). Puis c'est au tour de Sacha et Youen d'entrer en piste contre Sylvie et Olivier: Sacha assure son match alors que Youen chute sur Olivier. Score:2/2, la soirée va être longuuuue. Deuxième salve, Je joue Alain et Franck:Pascal et.......2 points pour nous,youpi nous avons creusé l'écart, il va falloir tenir . Youen gagne Sylvie pendant que Sacha s'incline à la belle face à Olivier. Le double Franck/Youen est remporté alors que Sacha et moi nous inclinons 12/10 à la belle. Après les doubles,MTT 2 réussi un super tir groupé puisque Sacha,moi et Franck gagnons respectivement Pascal,Sylvie et Olivier alors que Youen s'incline face à Alain en l'ayant poussé jusqu'à la belle. Score final sans plateau de fruits de mer: 9 à 5 pour MTT. Franck :3, Manu frustré par Franck :2, Sacha énervé par Franck :2 et Youen dégouté par Franck :1. Fin de soirée sympathique avec nos amis de Vannes,mention spéciale à Alain qui avait oublié le pain chez lui (une bonne demie-heure). Heureusement nous avons notre joker "Franck" qui à été chercher un Quick et en a fait profiter l'équipe . Manu </v>
          </cell>
          <cell r="T50" t="str">
            <v>Toujours en course …</v>
          </cell>
        </row>
        <row r="51">
          <cell r="K51">
            <v>1347.0250000000001</v>
          </cell>
          <cell r="R51" t="str">
            <v>journée 5</v>
          </cell>
          <cell r="S51" t="str">
            <v>Victoire de MTT 2: Sacha, Youen (8)et Franck,Manu(9) sur le score de 13 à 1 face à TT Rhyus composé de Bertrand (10),Erwan (8),Gilbert et Alexis (5). Alors que dire du match sinon que cela aurait du être un sans faute mais heureusement que Manu était là pour ne pas mettre la bulle à nos adversaires. Et de la plus belle façon qu'il soit puisque je m'écrase face à Alexis. Comme m'a fait remarqué Benoit "on dirait que tu as un parasol dans le *. Vous avez déjà vu un pin's jouer au ping ? Je pense que cela soit du au départ prématuré de Franck. Et oui, le samedi Franck à une grosse journée, il commence le matin de bonheur en tant que déménageur, puis curé et enchaine sur croque-mort. Bravo à toute l'équipe. Fin de soirée sympathique au club-house avec nos adversaires ainsi que MTT 4 et MTT 5. Manu Kptain heureux mais Pin's déprimé. *Q</v>
          </cell>
          <cell r="T51" t="str">
            <v>belle démonstration d'équipe homogêne</v>
          </cell>
        </row>
        <row r="52">
          <cell r="K52" t="str">
            <v/>
          </cell>
          <cell r="R52" t="str">
            <v>journée 6</v>
          </cell>
          <cell r="S52" t="str">
            <v>Mtt 2 face à la sympathique équipe de Ménimur composée de Benoit et Gael (10),Gabi (9) et Vincent (5). Soirée fraiche dans la salle des Ménimuriens, pas dans les coeurs mais l'air ambiant. Alors que dire de cette rencontre sinon une belle démonstration de MTT puisque nous gagnons 11/3 . Les 3 points perdus sont l'oeuvre de Manu, Sacha et Manu/Sacha en double. Pour ma part, pas d'excuses, je décide de changer de raquette juste avant de commencer mon premier match (du jamais vu, un grand n'importe quoi) et Sacha,lui s'incline face à Gael en l'ayant fortement fait douté. Youen et Franck font carton plein, bravo à eux. A noter tout de même les belles perfs de Sacha sur Benoit et Youen sur Gael. Franck quant à lui marque ses trois points et nous quitte malheureusement avant la fin de rencontre et du festin qui s'en suivait. (Quelle idée de faire un déménagement le samedi matin). En parlant de festin alors là se fut royal, nous avons eu le droit à une raclette party qui nous a vraiment bien réchauffée le corps. Superbe troisième mi-temps conviviale . Sacha et Youen se sentaient tellement bien qu'il ont même repris leur raquette pour nous faire un petit show, d'ailleurs, ils sont convoqués pour faire la première partie du ping-pong show le 15 juin. Voilà, donc une belle soirée pour Mtt 2 avec des adversaires au TOP, merci à vous pour cette soirée. Manu</v>
          </cell>
          <cell r="T52" t="str">
            <v>Victoire fraiche avec raclette dégivrante !</v>
          </cell>
        </row>
        <row r="53">
          <cell r="K53" t="str">
            <v/>
          </cell>
          <cell r="R53" t="str">
            <v>journée 7</v>
          </cell>
          <cell r="S53" t="str">
            <v>Désolé pour le retard, alors petit commentaire de cette soirée: MTT 2 (9/9/8/8) face à Séné (12/12/12/8). Nous savions que cela aurait été dur mais c'est sans compter sur l'acharnement de muz avec un Franck pilonneur qui marque ses 3 points comme d'hab, Sacha qui s'extirpe à la belle sur un très long match face à Pascal et Manu qui s'arrache face à Patrice. Youen ne marque pas de point ce soir, si, nous lui donnerons le point du double gagné. Petite déception pour ma part d'avoir perdu David à la belle, mais bon avec des SI, on referait le monde. voilà, c'était une belle soirée avec un score accroché jusqu'au bout. Je vous invite à vous rendre sur le site de Séné pour regarder leur sympathique commentaire. Bilan de cette phase: un grand bravo à toute l'équipe, Franck imbattable,Youen et Sacha les petits jeunes qui progressent de jour en jour. Merci à vous pour ces agréables soirées passées en votre compagnie, l'avenir nous annonce encore des jours heureux. Joyeux Noel et bonnes fêtes de fin d'année à tous. Manu</v>
          </cell>
          <cell r="T53" t="str">
            <v>Le nul n'était vraiment pas loin !</v>
          </cell>
        </row>
        <row r="54">
          <cell r="K54" t="str">
            <v/>
          </cell>
          <cell r="R54" t="str">
            <v>journée 8</v>
          </cell>
          <cell r="T54" t="str">
            <v>Quelle belle entame à Saint Abraham !</v>
          </cell>
        </row>
        <row r="55">
          <cell r="K55" t="str">
            <v/>
          </cell>
          <cell r="R55" t="str">
            <v>journée 9</v>
          </cell>
          <cell r="S55" t="str">
            <v>Le sans faute continue pour MTT 2 et cette soirée fut un vrai bon test face à une équipe déterminée possédant de vrais atouts ! Clément a laissé échappé quelques sets mais réussit un carton plein logique et mérité.1ère défaite de la saison pour notre kptain mais face à Frédéric très en confiance. Les 2 ont offert un match de grande qualité tout comme Martin défait au 5ème set par O. Mélina de retour dans le ping .Les doubles ont été determinants pour faire pencher la balance . Il faudra rester homogène et concentré tout au long de la phase pour atteindre un objectif légitime au vu du jeu et des ambitions de chacun</v>
          </cell>
          <cell r="T55" t="str">
            <v>Match très sérieux face à une solide équipe</v>
          </cell>
        </row>
        <row r="56">
          <cell r="K56" t="str">
            <v/>
          </cell>
          <cell r="R56" t="str">
            <v>journée 10</v>
          </cell>
        </row>
        <row r="57">
          <cell r="M57">
            <v>12</v>
          </cell>
          <cell r="N57">
            <v>14</v>
          </cell>
          <cell r="R57" t="str">
            <v>journée 11</v>
          </cell>
          <cell r="S57" t="str">
            <v>Match très équilibré sur le papier avec  14, 13,10 9 pour muzillac face à 12,12,10,9 pour Ménimur. Tout au long de la rencontre, les 2 équipes vont se marquer à la culotte : 0-2, 2- 2, 2- 4 , 4-4 , 5-5, 6-6 ! les 2 derniers matchs vont donc être décisifs ! Thierry gagne le sien logiquement et c'est donc à Quentin d'entrer en scène face à Julien pour sceller le sort de la soirée. De très beaux points de part et d'autres et c'est Julien qui en sortira vainqueur au 5ème set après avoir sauvé 3 balles de match dans la 4ème manche .. . Dur pour nos 2 jeunes : 2. belles chacun perdues de peu . Ca ira mieux la prochaine fois !</v>
          </cell>
          <cell r="T57" t="str">
            <v>4 belles sur 4 perdues …</v>
          </cell>
        </row>
        <row r="58">
          <cell r="R58" t="str">
            <v>journée 12</v>
          </cell>
          <cell r="S58" t="str">
            <v>Clément(14) Martin et Christophe (10) Quentin(9) face à Joel1 (13)Joel2 (11)Gildas (10) et "Navarro" (9) .Belle soirée de Ping à l'ASPTT ce samedi soir avec au bout du compte un match nul fort logique au vu de la feuille de match. Mais pour la 2éme journée consécutive, l'ordre des matchs n'a pas été favorable à MTT . Christophe perd, non sans essayer, devant les 3 "plus forts"  , Clément fait son 3/3 habituel sans trop trembler , Martin une victoire + un double important avec son frère et l'homme de la soirée est Quentin qui réalise une belle soirée au niveau tactique en génant Thomas (gaucher) et en respectant parfaitement le coaching de Clément pour arracher le point du match nul par une belle perf à 11 face au picot expérimenté de Joel2. Super casse croute à la table et autour de la table avec notamment Joel et Gildas en pleine forme. Merci pour l'accueil sans faute et bon vent pour la suite !</v>
          </cell>
          <cell r="T58" t="str">
            <v>Match nul fort logique !</v>
          </cell>
        </row>
        <row r="59">
          <cell r="R59" t="str">
            <v>journée 13</v>
          </cell>
          <cell r="S59" t="str">
            <v>Nous sommes maitres de notre destin avant le dernier match ,ayant assuré une belle victoire à l' AJK tandis que Séné faisait match nul à Pluneret. Le samedi 11/04 face à Ploermel !...</v>
          </cell>
          <cell r="T59" t="str">
            <v>La pré en ligne de mire</v>
          </cell>
        </row>
        <row r="60">
          <cell r="R60" t="str">
            <v>journée 14</v>
          </cell>
          <cell r="S60" t="str">
            <v>Avoir la peau des léopards est synonyme de montée en Pré Régionale !</v>
          </cell>
          <cell r="T60" t="str">
            <v>La pré en cadeau bien mérité</v>
          </cell>
        </row>
        <row r="61">
          <cell r="B61">
            <v>1</v>
          </cell>
          <cell r="C61" t="str">
            <v>MUZILLAC TT 2</v>
          </cell>
          <cell r="D61">
            <v>19.000061026416272</v>
          </cell>
          <cell r="E61">
            <v>7</v>
          </cell>
          <cell r="F61">
            <v>5</v>
          </cell>
          <cell r="G61">
            <v>2</v>
          </cell>
          <cell r="H61">
            <v>0</v>
          </cell>
          <cell r="I61">
            <v>67</v>
          </cell>
          <cell r="J61">
            <v>31</v>
          </cell>
        </row>
        <row r="62">
          <cell r="B62">
            <v>2</v>
          </cell>
          <cell r="C62" t="str">
            <v>SENE TT 2</v>
          </cell>
          <cell r="D62">
            <v>16.000041506174821</v>
          </cell>
          <cell r="E62">
            <v>7</v>
          </cell>
          <cell r="F62">
            <v>4</v>
          </cell>
          <cell r="G62">
            <v>1</v>
          </cell>
          <cell r="H62">
            <v>2</v>
          </cell>
          <cell r="I62">
            <v>51</v>
          </cell>
          <cell r="J62">
            <v>47</v>
          </cell>
        </row>
        <row r="63">
          <cell r="B63">
            <v>3</v>
          </cell>
          <cell r="C63" t="str">
            <v>L. PLOERMEL 3</v>
          </cell>
          <cell r="D63">
            <v>14.000024485938715</v>
          </cell>
          <cell r="E63">
            <v>7</v>
          </cell>
          <cell r="F63">
            <v>3</v>
          </cell>
          <cell r="G63">
            <v>1</v>
          </cell>
          <cell r="H63">
            <v>3</v>
          </cell>
          <cell r="I63">
            <v>51</v>
          </cell>
          <cell r="J63">
            <v>47</v>
          </cell>
        </row>
        <row r="64">
          <cell r="B64">
            <v>4</v>
          </cell>
          <cell r="C64" t="str">
            <v>AJK VANNES 4</v>
          </cell>
          <cell r="D64">
            <v>13.000069737162175</v>
          </cell>
          <cell r="E64">
            <v>7</v>
          </cell>
          <cell r="F64">
            <v>3</v>
          </cell>
          <cell r="G64">
            <v>0</v>
          </cell>
          <cell r="H64">
            <v>4</v>
          </cell>
          <cell r="I64">
            <v>49</v>
          </cell>
          <cell r="J64">
            <v>49</v>
          </cell>
        </row>
        <row r="65">
          <cell r="B65" t="str">
            <v>-</v>
          </cell>
          <cell r="C65" t="str">
            <v>US ST-ABRAHAM 1</v>
          </cell>
          <cell r="D65">
            <v>13.000042356690571</v>
          </cell>
          <cell r="E65">
            <v>7</v>
          </cell>
          <cell r="F65">
            <v>2</v>
          </cell>
          <cell r="G65">
            <v>2</v>
          </cell>
          <cell r="H65">
            <v>3</v>
          </cell>
          <cell r="I65">
            <v>43</v>
          </cell>
          <cell r="J65">
            <v>55</v>
          </cell>
        </row>
        <row r="66">
          <cell r="B66" t="str">
            <v>-</v>
          </cell>
          <cell r="C66" t="str">
            <v>CTT MENIMUR 2</v>
          </cell>
          <cell r="D66">
            <v>13.000019036879552</v>
          </cell>
          <cell r="E66">
            <v>7</v>
          </cell>
          <cell r="F66">
            <v>2</v>
          </cell>
          <cell r="G66">
            <v>2</v>
          </cell>
          <cell r="H66">
            <v>3</v>
          </cell>
          <cell r="I66">
            <v>47</v>
          </cell>
          <cell r="J66">
            <v>51</v>
          </cell>
        </row>
        <row r="67">
          <cell r="B67">
            <v>7</v>
          </cell>
          <cell r="C67" t="str">
            <v>PLUNERET/MERIAD 1</v>
          </cell>
          <cell r="D67">
            <v>12.000071703128762</v>
          </cell>
          <cell r="E67">
            <v>7</v>
          </cell>
          <cell r="F67">
            <v>2</v>
          </cell>
          <cell r="G67">
            <v>1</v>
          </cell>
          <cell r="H67">
            <v>4</v>
          </cell>
          <cell r="I67">
            <v>40</v>
          </cell>
          <cell r="J67">
            <v>58</v>
          </cell>
        </row>
        <row r="68">
          <cell r="B68" t="str">
            <v>-</v>
          </cell>
          <cell r="C68" t="str">
            <v>ASPTT VANNES 3</v>
          </cell>
          <cell r="D68">
            <v>12.000060421006379</v>
          </cell>
          <cell r="E68">
            <v>7</v>
          </cell>
          <cell r="F68">
            <v>2</v>
          </cell>
          <cell r="G68">
            <v>1</v>
          </cell>
          <cell r="H68">
            <v>4</v>
          </cell>
          <cell r="I68">
            <v>44</v>
          </cell>
          <cell r="J68">
            <v>54</v>
          </cell>
        </row>
        <row r="70">
          <cell r="R70" t="str">
            <v>journée 1</v>
          </cell>
          <cell r="S70" t="str">
            <v>Sans faute pour la première journée avec la montée en objectif, il fallait annoncer la couleur, c'est fait. Un peu de suspense lors du 3ème match de Jeremy N. face à un 8 (mais quel suspense !!) conclu 3/2. Et notre "père" José et son pardon ! "Pardon" dit-il après une poussette ratée ... Quel respect des adversaires ! Rdv dimanche a la messe José ;-)</v>
          </cell>
          <cell r="T70" t="str">
            <v>Départ superdonic !</v>
          </cell>
        </row>
        <row r="71">
          <cell r="K71">
            <v>842.01499999999999</v>
          </cell>
          <cell r="R71" t="str">
            <v>journée 2</v>
          </cell>
          <cell r="S71" t="str">
            <v>Sans faute, ça commence a être une habitude ... Le phrase du jour : "on fait jouer les gars". Signé Clement qui mènera 10/0 au premier set. Allez 14-0 la J3 ?</v>
          </cell>
          <cell r="T71" t="str">
            <v>Encore une victoire sans appel</v>
          </cell>
        </row>
        <row r="72">
          <cell r="K72">
            <v>985.01599999999996</v>
          </cell>
          <cell r="R72" t="str">
            <v>journée 3</v>
          </cell>
          <cell r="S72" t="str">
            <v xml:space="preserve">Les soirées du jeudi soir sont à oublier pour Clement. Belle victoire pour une montée qui se dessine. </v>
          </cell>
          <cell r="T72" t="str">
            <v>Match agréable pris au sérieux</v>
          </cell>
        </row>
        <row r="73">
          <cell r="K73">
            <v>835.07</v>
          </cell>
          <cell r="R73" t="str">
            <v>journée 4</v>
          </cell>
          <cell r="S73" t="str">
            <v>MTT 3, privé de Clément ( blessé !) accueillait  L'USSAC ce vendredi avec comme objectif de continuer sa course en tête . Après un échauffement bien mené , nous eûmes largement le temps de nous refroidir, nos adversaires ayant prolongé leur apéro , rituel d'avant match ! Début de la rencontre à 21 h 20 . MTT3 : Jérémy, Christophe,Martin, Quentin (15,10,10,8)    USSAC : J-Yves , Guillaume , P-Nicolas , Florentin ( 12 , 9 ,9 ,5)     L'avantage sur le papier fut assez vite visible à la table avec  un 3/1 à l'issue de la 1ère rotation . Quentin fut même très proche d'une belle perf sur J-Yves qui d'ailleurs cèdera face à Martin lors de la 2nde rotation durant laquelle , Quentin tombera face à Guillaume malgré un bel état d'esprit et une belle remontée.  Le score sera de 07/03 à l'issue des doubles , Christophe/ Martin ayant logiquement cédé face à la paire "forte" de l'USSAC. Pour finir , (Tard ...) C'est Christophe qui lachera le dernier point à l'issue d'un bon match face à J-Yves qui fut très géné toute la soirée par les conditions de jeu. Jérémy se fit lui un peu peur face à Guillaume mais remit les choses en place dans la dernière manche (11-0 Aïe !). Dernière partie de soirée fort agréable au Club House autour d'un casse croute de bonne tenue lui aussi ! La marche en avant de MTT 3 continue ! Prochain rendez vous chez les Léopards dans le chaudron vert ...</v>
          </cell>
          <cell r="T73" t="str">
            <v>Victoire tout à fait logique !</v>
          </cell>
        </row>
        <row r="74">
          <cell r="K74">
            <v>939.06700000000001</v>
          </cell>
          <cell r="R74" t="str">
            <v>journée 5</v>
          </cell>
          <cell r="S74" t="str">
            <v>Rdv était donné dans la magnifique salle omni-multi-sports de Ploermel pour un match entre le premier et le 3ème. Clement Roszak avait décidé de donner du rêve a ses coéquipiers en étant blessé, et d'entrée de jeu en perdant 3-0 face à un 11. 5-5 après les doubles, 3 victoires ont suffi pour nous assurer une victoire étriquée...</v>
          </cell>
          <cell r="T74" t="str">
            <v>Victoire à l'arraché …</v>
          </cell>
        </row>
        <row r="75">
          <cell r="K75" t="str">
            <v/>
          </cell>
          <cell r="R75" t="str">
            <v>journée 6</v>
          </cell>
          <cell r="S75" t="str">
            <v>Jérémy(15), Christophe et Martin (10) et Quentin M. (9) recevaient une sympathique et homogène équipe de Saint Nolff ce samedi soir au "Clos". 3/3 pour Jerémy qui néanmoins se fera peur face à Henri qui l'a poussé à la belle. Ce même Henri vint à bout de Christophe à l'issue d'un match très serré durant lequel (pour une fois !) la chance l'avait quitté . La soirée fut tranquille pour un Martin très serein même à cours d'entrainement. Quentin montra un bon niveau de jeu , mais ne put rien tout comme Christophe face à Ronan très affuté et précis ce vendredi soir. Cette soirée se termina par un casse croute sympathique remporté de peu par MTT ( 3 présents à 2 !) avec en apothéose le super far de la famille ZOGZOG dont c'était l'anniversaire de Quentin !</v>
          </cell>
          <cell r="T75" t="str">
            <v>Score sans appel mais un peu sévère</v>
          </cell>
        </row>
        <row r="76">
          <cell r="K76" t="str">
            <v/>
          </cell>
          <cell r="R76" t="str">
            <v>journée 7</v>
          </cell>
          <cell r="S76" t="str">
            <v>Vincent(12) Pierre(10) Julien(8) et Sébastien(faux 6) : équipe d'Elven qui en ce vendredi soir pluvieux accueillait Jérémy (15) Martin et Christophe(10) Quentin(9). L'avantage sur le papier se concrétisa assez vite à la table(3/1)après la 1ère rotation malgré un échauffement baclé du à un départ Rock n' roll à 20h 20 de Muzillac ! Seul Christophe bute logiquement sur Vincent . Dans la 2nde série de simple , c'est encore le cas face à Pierre qui fera également mordre la poussière à Quentin. Pour le reste, nos 2 costauds, n'ont rien laché ! Merci à Elven pour la 3ème mi-temps (paté extra !)  BRAVO à tous les joueurs ayant participé à cette belle phase ou le mélange "Jeunes-vieux" a parfaitement fonctionné. Place à la D1 en 2015 ... BONNES FETES à TOUS</v>
          </cell>
          <cell r="T76" t="str">
            <v>7/7 objectif atteint</v>
          </cell>
        </row>
        <row r="77">
          <cell r="K77" t="str">
            <v/>
          </cell>
          <cell r="R77" t="str">
            <v>journée 8</v>
          </cell>
          <cell r="S77" t="str">
            <v>Nous voici repartis pour cette 2ème phase avec comme premier adversaire Argoet composé de Pierre (10),Quentin (8),Julien (8) et Kevin (6). A peine entré dans la salle et, P..... ça caille, même avec un blouson nous étions gelés, du moins pour ma part. Début de partie difficile pour MTT 3 puisque Franck et moi nous inclinons sur les deux premiers match face à Pierre et Quentin. Joué contre un adversaire c'est dur mais si en plus les filets et coins de table ne sont pas pour vous alors là cela devient vachement compliqué (même Barthez passerait pour un rigolo). Mais c'est sans compter sur nos deux petits jeunes qui ont assurés comme des Dieux ce soir ,Sacha fait 2 points face à Kevin et Julien et notre champion toute catégorie de ce soir s'appelle Youen puisqu'il nous fait un carton plein. Voilà, victoire 9/5 de MTT 3 face à Argoet. Fin de soirée autour d'une bonne salade composée.</v>
          </cell>
          <cell r="T77" t="str">
            <v>Soir de fête face à Argoet</v>
          </cell>
        </row>
        <row r="78">
          <cell r="K78" t="str">
            <v/>
          </cell>
          <cell r="R78" t="str">
            <v>journée 9</v>
          </cell>
          <cell r="S78" t="str">
            <v xml:space="preserve"> MTT 3 face à Pleucadeuc 1 composé de Nicolas(10),Hervé(9),Thierry(9) et Didier(9). Défaite de l'équipe, NON,de Manu qui fait la bulle malgré un beau premier match mais perdu à la belle 14/12 face à Nicolas et puis après plus rien. Franck assure ses 2 points face à Hervé et Thierry mais butte aussi l'ami Nicolas, bravo à lui. Youen s'est arraché toute la soirée en gagnant face à Thierry et poussant Didier et Nico jusqu'à la belle mais en vain, bravo Youen. Notre champion de ce soir se nomme Sacha, avec un jeu fortement atypique, à su perturber Thierry et Didier mais s'incline sur le rusé Hervé en s'inclinant à la belle 12/14 lui aussi. A noter le double Franck/Youen qui est remporté alors que Sacha/Manu s'inclinent (trouver le boulet). Score final 6/8 pour nos amis de Pleucadeuc, bravo à eux et désolé pour mes coéquipiers. Manu</v>
          </cell>
          <cell r="T78" t="str">
            <v>Des regrets,mais c'est la beauté du sport</v>
          </cell>
        </row>
        <row r="79">
          <cell r="K79" t="str">
            <v/>
          </cell>
          <cell r="R79" t="str">
            <v>journée 10</v>
          </cell>
          <cell r="S79" t="str">
            <v>MTT 3 composé de Franck (11),Sacha et Manu (9) et Léa (6) notre joker d'un soir en remplacement de Youen, grippé. En face,St Raoul 1 composé de Quentin (10), Sylvain (9), Régis (7) et Johann (8). Alors, comment dire, St Raoult c'est loin, c'est très loin, mais quelle bonne surprise une fois arrivé, Franck nous l'avait dit ,une salle repeinte du sol au plafond... Alleluia. Première volée de matchs: Franck l'emporte face à Quentin dans un match serré alors que je m'incline à la belle face à Sylvain (mais le physique et le mental sont là). Puis c'est au tour de Sacha et Léa . Sacha l'emporte sur Régis alors que Léa se démène de fort belle manière face à Yohann,le toppeur fou de St Raoul avec un jeu de jambes impressionnant, mais en vain. Score 2/2. Deuxième volée :Franck gagne Sylvain et Manu.... Gagne Quentin (PU..IN, ca fait du bien) ensuite Léa bat Régis alors que Sacha butte sur Yohann. Score avant les double 5/3. Le double Franck/Léa est perdu mais le double Sacha/Manu est gagné,6/4, Allé,reste deux points à faire. Dernière volée, Franck l'emporte face à Régis et pendant ce temps Sacha s'éternise jusqu'à la belle face à Quentin mais la victoire est au bout. Puis les deux derniers, Manu s'impose face à Yohann alors que Léa s'incline face à Sylvain. Voilà, victoire de MTT 3 face à St Raoul 1 sur le score de 9/5. Belle fin de soirée avec les anciens coéquipiers de Franck ainsi que nos amis de Péaule qui étaient présent. Merci à Léa venue nous dépanner, elle a remplie son contrat. Manu</v>
          </cell>
        </row>
        <row r="80">
          <cell r="M80">
            <v>15</v>
          </cell>
          <cell r="N80">
            <v>14</v>
          </cell>
          <cell r="R80" t="str">
            <v>journée 11</v>
          </cell>
          <cell r="S80" t="str">
            <v xml:space="preserve">Parlons peu mais parlons bien:
Défaite de MTT 3 face à Locminé, pour ne pas dire une "branlée" puisque nous perdons 10 à 4. Seul point positif, c'est que chacun fait son point, ce qui prouve bien la solidarité de l'équipe. Voilà, une soirée à oublier au plus vite et repartir de l'avant. </v>
          </cell>
          <cell r="T80" t="str">
            <v>Ils étaient au dessus !...</v>
          </cell>
        </row>
        <row r="81">
          <cell r="R81" t="str">
            <v>journée 12</v>
          </cell>
          <cell r="T81" t="str">
            <v>la dynamique de victoire est relancée !</v>
          </cell>
        </row>
        <row r="82">
          <cell r="R82" t="str">
            <v>journée 13</v>
          </cell>
          <cell r="S82" t="str">
            <v>MTT 3 : Youen (8), Sacha, Benjamin et Manu (9) face à l, ASPTT: Pascal (8), Jean-Claude, Dominique et Jean (9). Le match s'annonce sérré en voyant les points sur la feuille, d'un coté: les jeunes (nous) et de l'autre les moins jeunes (eux: anciens champions du ping dont la moyenne d'âge doit avoisinée .....beaucoup plus que nous). Ce soir, nous jouons sans notre joker "Franck" parti se faire plaisir en D1, mais sortons un AS de notre manche "Benj", notre président. Les matchs débutent et sont pour nous, Sacha s'arrachant à la belle face à Jean 16/14. Deuxième volée, qui ressemble à la première sauf pour Youen qui se fait malmené par Jean, mené 2 sets à 0, Youen remonte à 2/2 mais s'incline à la belle. 7/1 avant les doubles, allé ,encore un petit coup de reins (pt'it clin d'oeil à Jean-Claude). Les deux doubles sont gagnés, non sans mal puisque les deux vont jusqu'à la belle, mais la victoire est là pour MTT 3. Les derniers matchs sont pour nous, les jeunes assurent alors que je dois aller à la belle face à Jean et Benjamin se fait une frayeur jusqu'à la belle aussi face à Dominique. Score final 13/1 pour MTT 3, score sévère pour l'ASPTT puisque nous remportons 6 belles sur 6. Bonne soirée pour nous et très formatrice puisque nous avons joués tous les styles de jeu et de plaques qui existent . A noter le FAIR-PLAY exemplaire de nos adversaires. Troisième mi-temps sympa sous le signe de la rigolade. Bravo à toute l'équipe et merci à Benjamin qui a largement rempli son contrat . Manu</v>
          </cell>
          <cell r="T82" t="str">
            <v>Victoire sans discussion même privée de son leader</v>
          </cell>
        </row>
        <row r="83">
          <cell r="R83" t="str">
            <v>journée 14</v>
          </cell>
          <cell r="T83" t="str">
            <v>Défaique logique face aux grands favoris</v>
          </cell>
        </row>
        <row r="84">
          <cell r="B84">
            <v>1</v>
          </cell>
          <cell r="C84" t="str">
            <v>BO QUESTEMBERT 1</v>
          </cell>
          <cell r="D84">
            <v>21.00003237112195</v>
          </cell>
          <cell r="E84">
            <v>7</v>
          </cell>
          <cell r="F84">
            <v>7</v>
          </cell>
          <cell r="G84">
            <v>0</v>
          </cell>
          <cell r="H84">
            <v>0</v>
          </cell>
          <cell r="I84">
            <v>79</v>
          </cell>
          <cell r="J84">
            <v>19</v>
          </cell>
        </row>
        <row r="85">
          <cell r="B85">
            <v>2</v>
          </cell>
          <cell r="C85" t="str">
            <v>TT PAYS LOCMINE 1</v>
          </cell>
          <cell r="D85">
            <v>18.000065935395277</v>
          </cell>
          <cell r="E85">
            <v>7</v>
          </cell>
          <cell r="F85">
            <v>5</v>
          </cell>
          <cell r="G85">
            <v>1</v>
          </cell>
          <cell r="H85">
            <v>1</v>
          </cell>
          <cell r="I85">
            <v>65</v>
          </cell>
          <cell r="J85">
            <v>33</v>
          </cell>
        </row>
        <row r="86">
          <cell r="B86">
            <v>3</v>
          </cell>
          <cell r="C86" t="str">
            <v>CTT MENIMUR 3</v>
          </cell>
          <cell r="D86">
            <v>15.000070890891182</v>
          </cell>
          <cell r="E86">
            <v>7</v>
          </cell>
          <cell r="F86">
            <v>4</v>
          </cell>
          <cell r="G86">
            <v>0</v>
          </cell>
          <cell r="H86">
            <v>3</v>
          </cell>
          <cell r="I86">
            <v>52</v>
          </cell>
          <cell r="J86">
            <v>46</v>
          </cell>
        </row>
        <row r="87">
          <cell r="B87" t="str">
            <v>-</v>
          </cell>
          <cell r="C87" t="str">
            <v>MUZILLAC TT 3</v>
          </cell>
          <cell r="D87">
            <v>15.000007842125443</v>
          </cell>
          <cell r="E87">
            <v>7</v>
          </cell>
          <cell r="F87">
            <v>4</v>
          </cell>
          <cell r="G87">
            <v>0</v>
          </cell>
          <cell r="H87">
            <v>3</v>
          </cell>
          <cell r="I87">
            <v>54</v>
          </cell>
          <cell r="J87">
            <v>44</v>
          </cell>
        </row>
        <row r="88">
          <cell r="B88">
            <v>5</v>
          </cell>
          <cell r="C88" t="str">
            <v>FC ST-RAOUL 1</v>
          </cell>
          <cell r="D88">
            <v>13.000091142473766</v>
          </cell>
          <cell r="E88">
            <v>7</v>
          </cell>
          <cell r="F88">
            <v>3</v>
          </cell>
          <cell r="G88">
            <v>0</v>
          </cell>
          <cell r="H88">
            <v>4</v>
          </cell>
          <cell r="I88">
            <v>47</v>
          </cell>
          <cell r="J88">
            <v>51</v>
          </cell>
        </row>
        <row r="89">
          <cell r="B89" t="str">
            <v>-</v>
          </cell>
          <cell r="C89" t="str">
            <v>JA PLEUCADEUC 1</v>
          </cell>
          <cell r="D89">
            <v>13.000072455365814</v>
          </cell>
          <cell r="E89">
            <v>7</v>
          </cell>
          <cell r="F89">
            <v>3</v>
          </cell>
          <cell r="G89">
            <v>0</v>
          </cell>
          <cell r="H89">
            <v>4</v>
          </cell>
          <cell r="I89">
            <v>38</v>
          </cell>
          <cell r="J89">
            <v>60</v>
          </cell>
        </row>
        <row r="90">
          <cell r="B90">
            <v>7</v>
          </cell>
          <cell r="C90" t="str">
            <v>ARGOET STT 1</v>
          </cell>
          <cell r="D90">
            <v>10.000038630929819</v>
          </cell>
          <cell r="E90">
            <v>7</v>
          </cell>
          <cell r="F90">
            <v>1</v>
          </cell>
          <cell r="G90">
            <v>1</v>
          </cell>
          <cell r="H90">
            <v>5</v>
          </cell>
          <cell r="I90">
            <v>40</v>
          </cell>
          <cell r="J90">
            <v>58</v>
          </cell>
        </row>
        <row r="91">
          <cell r="B91">
            <v>8</v>
          </cell>
          <cell r="C91" t="str">
            <v>ASPTT VANNES 6</v>
          </cell>
          <cell r="D91">
            <v>7.0000044224188889</v>
          </cell>
          <cell r="E91">
            <v>7</v>
          </cell>
          <cell r="F91">
            <v>0</v>
          </cell>
          <cell r="G91">
            <v>0</v>
          </cell>
          <cell r="H91">
            <v>7</v>
          </cell>
          <cell r="I91">
            <v>17</v>
          </cell>
          <cell r="J91">
            <v>81</v>
          </cell>
        </row>
        <row r="93">
          <cell r="R93" t="str">
            <v>journée 1</v>
          </cell>
          <cell r="S93" t="str">
            <v>Pour ce 1 er match, nous nous déplaçons à Muzillac rencontrer la sympathique équipe de MTT 2 !!! Sur le papier nous faisons jeu égal face à Manu, Franck, Sacha et Youen voir un peu mieux. Seulement à la table c'est une autre histoire, mauvais démarrage et nous sommes vite mené 7 à 0. On a bien vu là la différence entre des joueurs vainqueurs de différents tournois d'été Manu et Franck ou ceux qui ont fait des stages Youen, bravo à eux !! Le 1 er point est l'oeuvre de Benjamin qui bat Sacha grâce à son picot !! Cool on a pas la bulle. La paire Luc et Michel remporte leur point et Benjamin - Réginald perdent à la belle. Dommage. En fin de partie nous gagnons les 3 derniers matchs dont un belle victoire de Réginald face à Youen à la belle. Bilan, nous prenons un mauvais départ mais dés que le score a été acquis pour MTT 2, nous aurions pu revenir à égalité. Bravo à Benjamin, Michel et surtout à Réginald pour son 1 er point pour MTT il va en ramener plusieurs celui là !! Luc n'a pas eu la partie facile face aux gladiateurs de MTT 2. Ca va venir contre Rhuys vendredi prochain.</v>
          </cell>
          <cell r="T93" t="str">
            <v>vaiqueur : MTT !</v>
          </cell>
        </row>
        <row r="94">
          <cell r="K94">
            <v>1056.02</v>
          </cell>
          <cell r="R94" t="str">
            <v>journée 2</v>
          </cell>
          <cell r="T94" t="str">
            <v>Victoire longue à se dessiner !</v>
          </cell>
        </row>
        <row r="95">
          <cell r="K95">
            <v>850.03099999999995</v>
          </cell>
          <cell r="R95" t="str">
            <v>journée 3</v>
          </cell>
          <cell r="S95" t="str">
            <v xml:space="preserve">Dure soirée face à la sympathique équipe de Plescop. Sur le papier on pouvait espérer le nul au vu des classements deux 10 de part et d'autre. Seulement à la table se fut une autre histoire. On est vite dominé et mené. Seul nos expérimentés anciens parviennent à accrocher chacun une victoire. Bonne soirée pour Guy qui fait le double avec Benjamin. Bravo à Guy et Luc pour leur victoire. Réginald manque de peu la victoire en perdant 2 matchs en 5 sets. Benjamin passe lui à côté de ses matchs. Il va falloir batailler sec pour espérer se maintenir au vu des autres résultats !!! </v>
          </cell>
          <cell r="T95" t="str">
            <v>La jeunesse plescopaise a fait la différence</v>
          </cell>
        </row>
        <row r="96">
          <cell r="K96">
            <v>787.07500000000005</v>
          </cell>
          <cell r="R96" t="str">
            <v>journée 4</v>
          </cell>
          <cell r="S96" t="str">
            <v>Déplacement de MTT 4 chez nos amis de Ménimur, équipe composé de Gael, Damien, Benoît et du Président de Ménimur Gabriel. Sur le papier ça parait équitable, 10,8,10,9. Nous 9,10,9,8 avec Michel, Luc, Benjamin et Réginald. Qui sait peut être une bonne soirée !! Mais c'est sans compter sur l'idée de benoît de sortir un paquet de Carambar avant de commencer histoire de nous amadouer avec des histoires. Pour débuter: Quel riz peut on manger en voiture ? ....Le riz auto !!! Blague à part, sur les premières rotations nous nous prenons un 6-2. Nouvelle blague: Que fait de la salade à la montagne ? ....De la mâche à pied !! La paire Réginald-Benjamin gagne un double. Dernière rotation on prend un méchant 3-1. Résultat de la soirée on perd 10-4.
4 victoires qui sont l'oeuvre de Benjamin qui bat Gael, Benoît et Gabriel rien que ça et le double avec Réginald. Luc, Michel et Réginald ont eux vécu une soirée plus pénible. On est parti avec cette dernière blague: Quel est le comble d'un blagueur ? D'habiter à Vannes !!! Merci à vous pour votre accueil et nous serons là le samedi 13 juin pour vos 40 ans avec le show Secrétin !!!</v>
          </cell>
          <cell r="T96" t="str">
            <v>Et Pourtant ….</v>
          </cell>
        </row>
        <row r="97">
          <cell r="K97">
            <v>1044.011</v>
          </cell>
          <cell r="R97" t="str">
            <v>journée 5</v>
          </cell>
          <cell r="S97" t="str">
            <v>Pour ce 5 éme match, nous recevons nos voisins de Questembert composé de Gérald 11, Julien 11, Romain 11 et Eric 8, grosse équipe sur le papier. Sur les 5 premiers matchs nous faisons "illusion" avec Réginald et Guy qui battent Eric. Puis grosse série de défaites jusqu'au 3 éme point de MTT grâce à Benjamin qui bat ....Eric !!! Merci Eric. Même si le score parait sévère tout le monde s'est bien battu. Prochain match déplacement vers l'autre grosse équipe de la poule Séné ! Le maintien se jouera sur le dernier match à l'Asptt. Casse croûte très sympa.</v>
          </cell>
          <cell r="T97" t="str">
            <v>Score sévère mais logique !</v>
          </cell>
        </row>
        <row r="98">
          <cell r="K98">
            <v>1083.0130999999999</v>
          </cell>
          <cell r="R98" t="str">
            <v>journée 6</v>
          </cell>
          <cell r="S98" t="str">
            <v>Grosse défaite contre l'ogre sinagot composé de deux 12, Frédéric, Pascal, Patrice (11) et David (8). Que dire, que le match a mis du temps à démarrer, nous arrivons les 1er, Séné très très en retard !!! Conditions très difficiles pour pouvoir faire des beaux matchs. Même sans ça Séné nous a mis la tête sous l'eau et on a faillit nous noyer. Benjamin sauvant l'honneur en battant David dans le dernier match. le casse croûte permis de détendre les visages et de fêter la montée de Séné. Merci Frédéric pour la salade de pâtes. Bravo à vous. Dernier match la semaine prochaine avec la réception de l'Asptt Vannes pour espérer un maintien qui s'éloigne !!!</v>
          </cell>
          <cell r="T98" t="str">
            <v>Lourde défaite chez le leader incontesté du groupe !</v>
          </cell>
        </row>
        <row r="99">
          <cell r="K99" t="str">
            <v/>
          </cell>
          <cell r="R99" t="str">
            <v>journée 7</v>
          </cell>
          <cell r="S99" t="str">
            <v>Pour ce dernier match de la 1 ére phase nous recevons l'équipe de L'ASPTT. Equipe très homogène qui aligne 4 joueurs classé 10, Roger, Pascal, Alain et Olivier que des briscards !!! On débute mal, on est vite mené 5 à 2, seul Luc bat Alain. Ca y est, on va encore prendre une claque se dit on dans le camp muzillacais !! La soirée va être rude !! Mais d'un coup comme par magie débute alors une belle série de 6 victoires de MTT dont les 2 doubles avec les anciens d'un côté et les jeunes de l'autre !! On mène alors 7 à 5. Cool !!! une victoire se profile pense-t-on alors à Muzillac. On a au moins le nul, c'est déjà pas mal. Dans les 2 derniers matchs ceux sont les "jeunes" Benjamin et Julien qui bute sur Pascal et Olivier. Dommage mais on réalise un très beau match nul qui peut être nous maintiendra, qui sait !!
Sur ce match on a retrouvé un Luc combattant, combatif et plein de maitrise qui fait un sans faute, bravo !! Guy et Benjamin avec leurs plaques picoteuses gagnent tous les 2 sur Alain, seul Julien bute sur les expérimentés vannetais mais a fait peur à Pascal dans le 5 éme set !!
Pour cette 1 ére phase, je tiens à remercier tous ceux qui ont participé aux matchs, LUC, GUY, JULIEN, MICHEL et REGINALD (merci à toi pour tes encouragements hier soir) pour votre combativité et votre esprit d'équipe. Bonne Fêtes à tous !!!</v>
          </cell>
          <cell r="T99" t="str">
            <v>Match qui laisse encore un petit espoir !</v>
          </cell>
        </row>
        <row r="100">
          <cell r="K100" t="str">
            <v/>
          </cell>
          <cell r="R100" t="str">
            <v>journée 8</v>
          </cell>
          <cell r="S100" t="str">
            <v>c'est Muzillac qui déménage.
Nous retrouvons avec plaisir nos félins préférés : Philippe et Frédéric tous muscles bandés et cotés 11 en bourse , et Eric et Christian au pelage un poil moins brillant mais cotés 7 et 9 tout de même .
Le match démarre à l'heure , nous sommes au taquet , pressés de donner la patée aux panthères .Le combat est fidèle à l'image du ping :0-1 1-0 . 0-1 1-0. 0-1 1-0 0-1 1-0 .bref ... 4-4 avant les doubles . Ces fameux doubles qu'il faut gagner ..et bien non rien n'y fait , on reste à 5-5 .
Les fauves qui ont fait trembler le canton il y a longtemps ( tres longtemps pour Eric ) tournent en rond à la recherche d'une bonne solution ( Attention , à ce jeu là vous pourriez vous mordre la queue ! quel dommage quand on connait l'importance de cet appendice au cours de vos chasses nocturnes . )
Et brusquement la pitance est servie : 4 matchs d'affilée pour Christophe ,Julien ,Guy et Luc , de quoi remettre en cause le flair supposé des panthères qui ne voient plus du tout la vie en rose ( Frédéric grimpe aux arbres ,Christian et Philippe battent en retraite , et Eric pense sérieusement à une reconversion ,
genre basket ....avec une bonne détente ça aide )
9-5 fin de carnage . Festoyons les nounours .Ce soir c'est bien MUZ qui a déménagé et pour le lendemain(e) c'est Eric qui s'y colle avec sa meute pour assurer la migration de Frédérique . Cela tombe bien on dit que le léopard est capable de soulever une proie beaucoup plus lourde que lui , donc pour un piano à queue .......trop facile !
luc .</v>
          </cell>
          <cell r="T100" t="str">
            <v>Bon départ face aux Léopards !</v>
          </cell>
        </row>
        <row r="101">
          <cell r="K101" t="str">
            <v/>
          </cell>
          <cell r="R101" t="str">
            <v>journée 9</v>
          </cell>
          <cell r="S101" t="str">
            <v>ON AURAIT PU FAIRE MATCH NUL
19H 15 pétantes nous étions tous à la salle prêts à partir pour en découdre avec GUEGON .Tous ? Non , il nous manquait l'homme de base de notre équipe , le pilier ( conformément à la stratégie mise en place par Matthieu ) quand soudain un crissement de pneus nous interrompt dans nos conversations : Christophe arrive sur les chapeaux de roues et pile net sur place au clos des moineaux ( le goudron s'en rappelera longtemps ! ) ça freine dur , ses nouvelles plaquettes tout juste fixées , sont top ! nous sommes rassurés , on se dit Christophe change ses plaques ( on espère aussi que son top sera revu par le mécano ) , il va nous casser la baraque ce soir .Arrivés à GUEGON , par de jolies routes morbihannaises ( merci Régi pour ces moments bucoliques mais il faisait nuit et on n' a pas pu apprécier pleinement ton itinéraire ) Christophe ,copilote pour l'occase , était ailleurs , il rêvait de virages ,d'épingles à cheveux dans lesquels il aurait pu tester à fond ses disques flambants neufs .Le match démarre à l'heure face à une jeune équipe ( après 30 ans on est des vieux ! ) comprenant deux 8 un 11 et un 6 . A l'étape des doubles nous en sommes à 4-4 , chacun de nous ayant concédé un match à l'adversaire ; dont Christophe qui ronge son frein ( il a de la marge maintenant ) face à Jérome un tres bon 11 même pas impressionné par toutes les belles glissades à deux genoux de notre cascadeur préféré ! On ne dira jamais assez l'importance des genouillères , NON , des doubles ! de justesse hélas ils nous échappent !
C'est le tournant ( ceux que Christophe affectionne particulièrement en ce moment ) du match : 6-4 pour GUEGON .
Quentin et Luc arrachent 2 points , Réginald échoue logiquement face à Jérome mais avec panache , quant à Christophe il réalise son plus beau contre (...braquage) du moment face à Lucas 6 : de quoi péter un cable , il s'est pourtant bien lâché ...trop peut être ? Lucas qui joue très bien accroche donc un 10 à son tableau pour la 2ème fois cette saison, bravo à lui. Une sympathique 3ème mi-temps avec salade piémontaise ( ça glisse bien pour Christophe ) terminera cette soirée qui ne devrait pas rester mémorable hormis la conduite débridée d'un Sébastien Loeb d'un soir ," tout droit à fond je m'en fous j'ai disques et plaquettes rutilantes !"
allez Chri- Chri tes plus belles glissades restent à venir , notamment dans les Alpes ...
LUC.</v>
          </cell>
          <cell r="T101" t="str">
            <v>Pareil !</v>
          </cell>
        </row>
        <row r="102">
          <cell r="K102" t="str">
            <v/>
          </cell>
          <cell r="R102" t="str">
            <v>journée 10</v>
          </cell>
          <cell r="S102" t="str">
            <v xml:space="preserve"> Victoire logique
ST NOLFF arrive en infériorité numérique , vacances de février obligent ! et hop 3 points dans notre besace , et on enchaine les victoires au fil de la soirée jusqu'au moment ou Henri ( 10 ) se rappelle au bon souvenir de Muz ( c'est un ancien licencié du club ! ) et sauve st Nolff for l'honneur en marquant deux coches contre Guy et Luc .
St NOLFF était en petite forme et comme le match finit de bonne heure , Henri ramènera ses troupes au pied levé , sans prendre ni casse-croute ni boisson ....( chic pour l'intendance ) . La fausse 3ème mi-temps fut cependant bien sympathique , certes en petit comité car Guy avait dû monter dans la voiture d'Henri par erreur et on ne le vit plus de la soirée !
PS : si une bonne âme voulait bien aller à la recherche de " guyguy la saumure " qui aux dernières nouvelles trainait près du Carlton de ST NOLFF !
Résultat final : 12-2
LUC.</v>
          </cell>
        </row>
        <row r="103">
          <cell r="M103">
            <v>7</v>
          </cell>
          <cell r="N103">
            <v>14</v>
          </cell>
          <cell r="R103" t="str">
            <v>journée 11</v>
          </cell>
          <cell r="S103" t="str">
            <v xml:space="preserve">On pressentait que ça allait être son jour ....Christophe était à l'heure au clos des moineaux ,tellement même qu'on croyait tous ( Régi , julien et luc ) être en retard c'est dire .....On part de bonne humeur vers Plescop et bien sûr on arrive pile à l'heure dite ,grâce à Cri-Cri ,et on peut s'échauffer comme de bons vieux diesel ( 2 au moins sur la bande des 4 , trouvez lesquels ) .Salle bien chauffée et parquet au menu mais.....pas ciré : l'oeil aiguisé de Christophe a frappé fort une fois de plus ! ( ses genoux seront peut -être indemnes ce soir ? ) .
Le match peut commencer , et les points défiler : c'est du 7- 0 pour Plescop qui nous saisit .....à chaud pourtant ! ( deux 10 et deux 7 qui font mal ) .les points sont âprement discutés mais le score est là ! Soyons lucides une raclée se profile .
C'est sans compter sur notre guide ( fraîchement débarqué des hautes montagnes ) : il décoche un première flèche d'or ( et ce sans glissade ) face à Pierre (7) , puis dans un élan de bienveillance décide de coacher le 2ème double après avoir hélas perdu le 1er avec Régi .
Julien et Luc sont au taquet , ils ont l'impression d'être dans la partie , de faire au mieux pour ne pas décrocher : Plescop mène 2 sets à 1 , Cri-Cri nous demande alors de mettre du gaz ,du rythme , de s'investir plus ,de rentrer dedans en somme .....mais Juju et Luc sont presque à donf ....ils décident de garder le cap malgré tout ( tout : c'est notre coach préféré) et on revient à 2-2 . Silence radio de l'homme des neiges à la pause avant d'entamer la belle , sa vision du jeu l'aurait trompé ? son regard ne serait plus aussi perçant ? on gagne cette belle et ce 2ème point . MERCI Christophe , l'important c'est de savoir que tu nous regardes .
Puis Juju,Christophe ( toujours là ) et Luc relèvent la tête pour minorer la franche victoire de Plescop : 9-5 .
Un bon casse-croûte en 3ème mi-temps , ou l'on parle lunettes et remboursement sécu , un signe peut-être ? ? , puis c'est le départ !
On a bien aimé la ponctualité de Christophe , sa vision du jeu , sa clairvoyance .......
On a moins aimé sa vision du jeu , sa lucidité , sa ponctualité !
Mais on ne changerait pour personne cette fine lame que l'on appelle entre nous ( dites lui pas ! ) : " OEIL DE LYNX "
Luc. </v>
          </cell>
          <cell r="T103" t="str">
            <v>Défaite logiue et sans discussion …</v>
          </cell>
        </row>
        <row r="104">
          <cell r="R104" t="str">
            <v>journée 12</v>
          </cell>
          <cell r="S104" t="str">
            <v>Défaite qui nous laisse des regrets .
St ABRAHAM arrive juste avant la fermeture ....avec une équipe au complet : deux 9 un 5 et un 12 .Chez nous, nous troquons notre guide , vous savez ce coyotte avisé qui illumine nos nuits agitées , pour une jeune pousse prometteuse avec un avenir .....à confirmer .
Entame de match au profit de St Abraham qui fait cavalier seul jusqu'à mener 5-3 avant les doubles , Guy ( le perdreau de cette saison vous l'aviez reconnu ) , Réginald et Luc tirant difficilement 3 épingles à ce petit jeu .
Un espoir renaît avec l'épreuve dans l'épreuve : les doubles ! d'autant que Christophe nous a rejoints pour un bon coaching comme il en a le secret ! tout est possible , il nous galvanise : Réginald arrète de fumer , Luc de boire , Juju de bidouiller et Guy accepte d'être encouragé ! bref des vainqueurs en somme .
Résultat : un point partout , on en est à 6-4 , Cri- Cri nous a fait rèver one more time ....c'est ça la Christophe touch !
La suite est tristement banale , hormis Juju et Réginald qui se montrent très à la hauteur de leurs adversaires respectifs , il n'y a plus rien à attendre des deux vieux qui éructent en bout de table et qui ne confirment rien du tout ! la fête est finie , on plie les tables sur un score final de 8-6 la mort dans l'âme car on sait tous que Christophe repart déçu ... on s'en veut de lui avoir flanqué le bourdon à la veille d'un match de D1 ....
Allez Cri-Cri , on va penser fortement à toi , sacré lâcheur ! ( arrive à point , echauffe toi bien et .......bon pied bon OEIL pour ce soir , tu as la "vista " avec toi !
Luc</v>
          </cell>
          <cell r="T104" t="str">
            <v>Dommage que Luc ne puisse faire les 2 doubles !</v>
          </cell>
        </row>
        <row r="105">
          <cell r="R105" t="str">
            <v>journée 13</v>
          </cell>
          <cell r="S105" t="str">
            <v xml:space="preserve">Défaite sur le fil
La BO arrive juste à temps avant que l'on éteigne les ampoules ! ouf nous ne sommes que 3 ce soir , cela devrait aller vite .En effet la rencontre va bon train , et le score en est à 4-4 avant les doubles ou plutot Le double !
Guy et Luc sont reconduits pour faire basculer le match ( notre coach ayant un oeil neuf sur cette paire prétendue imbattable , il confirme moralement ce choix ) .
La tension monte avant la rencontre , Guy s'absente un instant pour satisfaire un besoin naturel , et on sait que ........
la bo marque 2 points ...un double qui compte double , Christophe en jetterait son monocle à terre de n'avoir pas vu venir ça ! 6-4 mais le match nul est encore possible et c'est fou , Guy prend le manche en main sur le dernier match lorsque le score en est à 7-6 pour Questembert : Hélas les faits sont tristes ( les fesses sont tristes ....aussi .) Eric plante notre guy de belle manière et donne la victoire à son équipe !
la morale : à force de pisser contre le vent Guy , tu mouilles ta chemise !
</v>
          </cell>
          <cell r="T105" t="str">
            <v>Encore un résultat positif raté de peu !</v>
          </cell>
        </row>
        <row r="106">
          <cell r="R106" t="str">
            <v>journée 14</v>
          </cell>
          <cell r="S106" t="str">
            <v>SI PRES DE LA VICTOIRE !
Nous partons de bonne humeur , fort de la présence de Léa qui nous rejoint pour ce dernier match .
Guy en a la tête toute retournée ( torti au lit ) on lui a pourtant bien dit qu'avant tout effort il faut s'échauffer , au lit comme ailleurs ...Bref nous avons cependant bien l'intention de remporter ce match avec les bobos des uns et les bons coups des autres .
Faisons la courte : 4-4 avant les doubles , 5-5 apres ! rien à faire , l'asptt ne décroche pas  , à  l'image de Roger ( 10) avec un picot dévastateur qui lui permet de faire carton plein !
On se fait même peur  car nous sommes menés 7à 5 mais Réginald et Luc assurent le nul en fin de partie .
Comme quoi il s'en est phallus de peu car si nous n'avions pas perdu  un double 11-9 à la belle ....Léa   ( qui n'a pas démérité et qui tenait bien sa place en D2 ) . 
Fin des comptes - rendus pour cette année et c'est surement bien ainsi .
Merci à ces valeureux pongistes que sont Guy , Réginald , Julien ,Christophe ,  Benja et michel en phase 1 , et Léa  , on s'est bien marré , et vive le ping !</v>
          </cell>
          <cell r="T106" t="str">
            <v>Un résultat poszitif synonyme de maintien</v>
          </cell>
        </row>
        <row r="107">
          <cell r="B107">
            <v>1</v>
          </cell>
          <cell r="C107" t="str">
            <v>US ST-ABRAHAM 2</v>
          </cell>
          <cell r="D107">
            <v>17.000016398985451</v>
          </cell>
          <cell r="E107">
            <v>7</v>
          </cell>
          <cell r="F107">
            <v>5</v>
          </cell>
          <cell r="G107">
            <v>0</v>
          </cell>
          <cell r="H107">
            <v>2</v>
          </cell>
          <cell r="I107">
            <v>54</v>
          </cell>
          <cell r="J107">
            <v>44</v>
          </cell>
        </row>
        <row r="108">
          <cell r="B108">
            <v>2</v>
          </cell>
          <cell r="C108" t="str">
            <v>L. PLOERMEL 4</v>
          </cell>
          <cell r="D108">
            <v>15.000058236396544</v>
          </cell>
          <cell r="E108">
            <v>7</v>
          </cell>
          <cell r="F108">
            <v>4</v>
          </cell>
          <cell r="G108">
            <v>0</v>
          </cell>
          <cell r="H108">
            <v>3</v>
          </cell>
          <cell r="I108">
            <v>53</v>
          </cell>
          <cell r="J108">
            <v>45</v>
          </cell>
        </row>
        <row r="109">
          <cell r="B109" t="str">
            <v>-</v>
          </cell>
          <cell r="C109" t="str">
            <v>ES PLESCOP TT 5</v>
          </cell>
          <cell r="D109">
            <v>15.000027749451164</v>
          </cell>
          <cell r="E109">
            <v>7</v>
          </cell>
          <cell r="F109">
            <v>4</v>
          </cell>
          <cell r="G109">
            <v>0</v>
          </cell>
          <cell r="H109">
            <v>3</v>
          </cell>
          <cell r="I109">
            <v>52</v>
          </cell>
          <cell r="J109">
            <v>46</v>
          </cell>
        </row>
        <row r="110">
          <cell r="B110" t="str">
            <v>-</v>
          </cell>
          <cell r="C110" t="str">
            <v>BO QUESTEMBERT 2</v>
          </cell>
          <cell r="D110">
            <v>15.000002994249906</v>
          </cell>
          <cell r="E110">
            <v>7</v>
          </cell>
          <cell r="F110">
            <v>4</v>
          </cell>
          <cell r="G110">
            <v>0</v>
          </cell>
          <cell r="H110">
            <v>3</v>
          </cell>
          <cell r="I110">
            <v>53</v>
          </cell>
          <cell r="J110">
            <v>45</v>
          </cell>
        </row>
        <row r="111">
          <cell r="B111">
            <v>5</v>
          </cell>
          <cell r="C111" t="str">
            <v>ASPTT VANNES 4</v>
          </cell>
          <cell r="D111">
            <v>14.000007449119323</v>
          </cell>
          <cell r="E111">
            <v>7</v>
          </cell>
          <cell r="F111">
            <v>3</v>
          </cell>
          <cell r="G111">
            <v>1</v>
          </cell>
          <cell r="H111">
            <v>3</v>
          </cell>
          <cell r="I111">
            <v>49</v>
          </cell>
          <cell r="J111">
            <v>49</v>
          </cell>
        </row>
        <row r="112">
          <cell r="B112">
            <v>6</v>
          </cell>
          <cell r="C112" t="str">
            <v>AO ST-NOLFF 1</v>
          </cell>
          <cell r="D112">
            <v>13.000034602274029</v>
          </cell>
          <cell r="E112">
            <v>7</v>
          </cell>
          <cell r="F112">
            <v>3</v>
          </cell>
          <cell r="G112">
            <v>0</v>
          </cell>
          <cell r="H112">
            <v>4</v>
          </cell>
          <cell r="I112">
            <v>45</v>
          </cell>
          <cell r="J112">
            <v>53</v>
          </cell>
        </row>
        <row r="113">
          <cell r="B113">
            <v>7</v>
          </cell>
          <cell r="C113" t="str">
            <v>MUZILLAC TT 4</v>
          </cell>
          <cell r="D113">
            <v>12.000071735061708</v>
          </cell>
          <cell r="E113">
            <v>7</v>
          </cell>
          <cell r="F113">
            <v>2</v>
          </cell>
          <cell r="G113">
            <v>1</v>
          </cell>
          <cell r="H113">
            <v>4</v>
          </cell>
          <cell r="I113">
            <v>51</v>
          </cell>
          <cell r="J113">
            <v>47</v>
          </cell>
        </row>
        <row r="114">
          <cell r="B114">
            <v>8</v>
          </cell>
          <cell r="C114" t="str">
            <v>RAQ GUEGON 1</v>
          </cell>
          <cell r="D114">
            <v>11.000097049197528</v>
          </cell>
          <cell r="E114">
            <v>7</v>
          </cell>
          <cell r="F114">
            <v>2</v>
          </cell>
          <cell r="G114">
            <v>0</v>
          </cell>
          <cell r="H114">
            <v>5</v>
          </cell>
          <cell r="I114">
            <v>35</v>
          </cell>
          <cell r="J114">
            <v>63</v>
          </cell>
        </row>
        <row r="116">
          <cell r="R116" t="str">
            <v>journée 1</v>
          </cell>
          <cell r="S116" t="str">
            <v xml:space="preserve"> Très bonne soirée.mais que de suspens.aprés un mauvais départ 0/3 .grosse motivation de tous ce qui a valu une remontée spectaculaire.pour 
en finale l'emporter 8/6.bravo a toute l'équipe.emile ."</v>
          </cell>
          <cell r="T116" t="str">
            <v>Au bout du suspens !</v>
          </cell>
        </row>
        <row r="117">
          <cell r="K117">
            <v>617.06399999999996</v>
          </cell>
          <cell r="R117" t="str">
            <v>journée 2</v>
          </cell>
          <cell r="S117" t="str">
            <v>Très belle soirée. Bonne ambiance et belle performance de Corentin qui avec 2 matchs gagants a montré sa maturité manquant de peu une perf sur le 3em match.bravo a lui. franck assure comme dab.bon début de saison..</v>
          </cell>
          <cell r="T117" t="str">
            <v>Encore une belle victoire</v>
          </cell>
        </row>
        <row r="118">
          <cell r="K118">
            <v>586.05100000000004</v>
          </cell>
          <cell r="R118" t="str">
            <v>journée 3</v>
          </cell>
          <cell r="S118" t="str">
            <v>equipe adverse nettement au dessus ,joue la montée.class.1/10*2/9*1/6(ancien 11).aucun regret a avoir.tout le monde c'est bien battu.
pensons déjà au match suivant*.bonnes vacances a tous.*</v>
          </cell>
          <cell r="T118" t="str">
            <v>Défaite sévère mais logique !</v>
          </cell>
        </row>
        <row r="119">
          <cell r="K119">
            <v>964.05200000000002</v>
          </cell>
          <cell r="R119" t="str">
            <v>journée 4</v>
          </cell>
          <cell r="S119" t="str">
            <v>Repos et encouragements des autres équipes pour cette journée !</v>
          </cell>
          <cell r="T119" t="str">
            <v>Repos !</v>
          </cell>
        </row>
        <row r="120">
          <cell r="K120">
            <v>665.05</v>
          </cell>
          <cell r="R120" t="str">
            <v>journée 5</v>
          </cell>
          <cell r="S120" t="str">
            <v>Très bon résultat. une belle équipe qui a su se motiver.bravo à Corentin qui bat un 10 (et à Mathieu qui en battant un 8 lors du dernier match apporte les points du match nul .) !</v>
          </cell>
          <cell r="T120" t="str">
            <v xml:space="preserve">Arraché de haute lutte à la belle 11/09 du dernier match </v>
          </cell>
        </row>
        <row r="121">
          <cell r="K121">
            <v>904.01700000000005</v>
          </cell>
          <cell r="R121" t="str">
            <v>journée 6</v>
          </cell>
          <cell r="S121" t="str">
            <v>soirée très éprouvante.avec le froid en+.belle bagarre jusq'au dernier match ou corentin a fait ce qu'il a pu pour décrocher une égalisation .malheureusement en face le 10 a fait parler son expérience.bravo a l'équipe</v>
          </cell>
          <cell r="T121" t="str">
            <v>Le match nul n'était pas très loin !</v>
          </cell>
        </row>
        <row r="122">
          <cell r="K122" t="str">
            <v/>
          </cell>
          <cell r="R122" t="str">
            <v>journée 7</v>
          </cell>
          <cell r="S122" t="str">
            <v xml:space="preserve">soirée très difficile . malgré des matchs très disputés ,l'adversaire avec son expérience (vieux briscards ) nous a infligé une lourde défaite.
seul franck a tirer son épingle du jeu (2 victoires).a l'année prochaine pour une nouvelle aventure.emile </v>
          </cell>
          <cell r="T122" t="str">
            <v>Sévère défaite mais phase positive !</v>
          </cell>
        </row>
        <row r="123">
          <cell r="K123" t="str">
            <v/>
          </cell>
          <cell r="R123" t="str">
            <v>journée 8</v>
          </cell>
          <cell r="S123" t="str">
            <v>C'est parti pour cette 2 éme phase avec une équipe remaniée. Rémy, Léa, Alan et Antoine reçoivent Ménimur 5. Toute l'équipe a su se rendre le match facile même s'il faut parfois pousser les jeunes loups !!! Les 2 doubles ont été maitrisé même si Rémy et Antoine ont du lutter jusqu' à la belle. Très bon départ qui laisse envisager une bonne phase.</v>
          </cell>
          <cell r="T123" t="str">
            <v>Pas de coup dur face à Ménimur</v>
          </cell>
        </row>
        <row r="124">
          <cell r="K124" t="str">
            <v/>
          </cell>
          <cell r="R124" t="str">
            <v>journée 9</v>
          </cell>
          <cell r="S124" t="str">
            <v>Après une victoire nette et logique lors du 1 er match, cette seconde rencontre en D3 se solde par une nette défaite face à une équipe de St Avé très équilibré. Philippe 7, Lionel 8, Marie-Cécile 5 et Dominique 8 nous ont été supérieurs du début à la fin. Nos jeunes Antoine et Alan en plus d' être saisi par le froid de la salle n'ont pas trouvé la clé face aux avéens. Seul Léa gagne contre Philippe et perd à la balle contre le jeune picot Lionel. Le vétéran Benjamin gagne ses 3 matchs avec une petite frayeur contre Lionel en gagnant à la belle. Bon double Benjamin/Antoine qui gagne aussi à la belle. Merci à St Avé pour leur gâteaux.
Prochain match contre le leader Baud.</v>
          </cell>
          <cell r="T124" t="str">
            <v>Pareil !</v>
          </cell>
        </row>
        <row r="125">
          <cell r="K125" t="str">
            <v/>
          </cell>
          <cell r="R125" t="str">
            <v>journée 10</v>
          </cell>
          <cell r="S125" t="str">
            <v>Défaite logique de MTT 5 face à une très grosse équipe de Baud. Composé de Yannick (9), Gilles(10), Benjamin (8)et Jean Marie (10). D'entrée on prend un énorme 6 à 0 qui ne laisse guère de doute sur la soirée. Au passage, Alan fait une belle sur Gilles qui l'emporte au métier. Puis Rémy et Benjamin marquent enfin un point chacun en gagnant Jean Marie et Benjamin de Baud classé 8 mais qui gagne sur Rémy en 3 sets, Chapeau à lui !! Le dernier point est toujours l'oeuvre de Rémy.
Alan et Antoine ont eu un peu de mal à exister face à cette très belle équipe. Dommage !! Prochain match contre Ménimur où la victoire devient vitale.</v>
          </cell>
        </row>
        <row r="126">
          <cell r="M126">
            <v>8</v>
          </cell>
          <cell r="N126">
            <v>14</v>
          </cell>
          <cell r="R126" t="str">
            <v>journée 11</v>
          </cell>
          <cell r="S126" t="str">
            <v>Ca fait du bien !!! Après 2 défaites consécutives, nous retrouvons le chemin de la victoire contre la 2 éme équipe de Ménimur présente dans le groupe. Equipe composé de Franck 7, Mathieu 6, Joël 8 et Marine 5. Tout le monde s'est très bien investi pour construire une victoire nette et incontestable. On mène très vite 6-0 puis 8-2 après les doubles. Un grand merci à Rémy qui même souffrant à cause d'un virus persistant reste toujours aussi performant. Bravo à Léa et Benjamin qui ont fait preuve d'une grande autorité à la table pour faire un sans faute. Antoine fait un point face à Marine mais a eu un peu plus de mal face à Mathieu et Joël. Prochain match en déplacement à Pluneret où ça sera un peu plus difficile.</v>
          </cell>
          <cell r="T126" t="str">
            <v>Encore une belle victoire !</v>
          </cell>
        </row>
        <row r="127">
          <cell r="R127" t="str">
            <v>journée 12</v>
          </cell>
          <cell r="S127" t="str">
            <v>Très belle victoire de MTT 5 face à une bonne équipe de Pluneret. Sur la feuille, ça sent le match nul, Pluneret étant composé de deux 10, un 8 et un 7 et nous deux 9, et deux 6. On démarre mal en perdant nos 3 premiers simples mais on se remet la tête à l'endroit en remportant chacun 1 match et l'on arrive aux doubles à égalité. Bigre, si on prend les doubles on a une chance. En plus en composant la feuille, les "plus forts" sur la feuille se rencontrent, ça sera donc aux jeunes de faire l'exploit. Et le vent tourne en notre faveur avec le gain des 2 doubles où les anciens Rémy et Benjamin gagnent sans trembler et surtout notre paire de jeune Léa et Allan remporte leur point à l'aise !!! Cool. Seulement Rémy et Benjamin ne parviennent pas à battre les 10 de Pluneret et c'est à Léa et Allan que revient l'honneur de nous emmener à la victoire. Chose qu'ils font tout les deux en maitrisant leur match de façon magistral. Bravo à eux et à tous et surtout à Léa qui perf sur Yvan classé 10.</v>
          </cell>
          <cell r="T127" t="str">
            <v>maintien assuré de belle façon</v>
          </cell>
        </row>
        <row r="128">
          <cell r="R128" t="str">
            <v>journée 13</v>
          </cell>
          <cell r="T128" t="str">
            <v>La dynamique de victoire continue à fonctionner</v>
          </cell>
        </row>
        <row r="129">
          <cell r="R129" t="str">
            <v>journée 14</v>
          </cell>
          <cell r="S129" t="str">
            <v>Pour ce dernier match de championnat, nous nous déplaçons chez Rhuys TT 1. Pour ce déplacement, l'équipe est remanié car Léa et Rémy sont montés en MTT 3 et 4. Nous enrôlons Corentin pour un roadmovie sur la presqu'île !!! Sur la feuille, Rhuys est plus fort avec deux 9, Bertrand leur Président, cuisinier ... et Michel, plus Marc et Alexis un 7 et un 5 mais qui à la table valent largement plus. D'entrée, nos jeunes Antoine, Alan et Corentin perdent leur entame de match et on est vite mené 3-0. Sur les 8 matchs avant les doubles, seul Benjamin parvient à donner 2 point à Muzillac. La paire composé des cousins Alan et Corentin parviennent à scorer, bravo la famille Le Cam !! Benjamin et Antoine manque le coche face aux expérimentés Bertrand et Michel. En fin de partie, Benjamin et surtout Antoine qui d'un magistral 3 à 0 face à Marc parviennent à redonner 2 points à Muz, score final défaite 9 à 5 !!!
Un grand merci à Bertrand et son équipe pour leur accueil et surtout leur festin: Accra de Morue, Ty Punch, Colombo de Porc et Ananas !!! 
Je tiens pour ce dernier commentaire à remercier l'équipe de MTT 5 composé de Rémy, Léa, Antoine, Alan, Corentin pour cette belle 2 éme place et leur engagement tout au long de la phase. Merci et Bravo à tous !!!!</v>
          </cell>
          <cell r="T129" t="str">
            <v>Une équipe rajeunie mais encore trop tendre .</v>
          </cell>
        </row>
        <row r="130">
          <cell r="B130">
            <v>1</v>
          </cell>
          <cell r="C130" t="str">
            <v>BAUD TT 1</v>
          </cell>
          <cell r="D130">
            <v>21.000076172321862</v>
          </cell>
          <cell r="E130">
            <v>7</v>
          </cell>
          <cell r="F130">
            <v>7</v>
          </cell>
          <cell r="G130">
            <v>0</v>
          </cell>
          <cell r="H130">
            <v>0</v>
          </cell>
          <cell r="I130">
            <v>75</v>
          </cell>
          <cell r="J130">
            <v>23</v>
          </cell>
        </row>
        <row r="131">
          <cell r="B131">
            <v>2</v>
          </cell>
          <cell r="C131" t="str">
            <v>TT RHUYS 2</v>
          </cell>
          <cell r="D131">
            <v>15.000070500427565</v>
          </cell>
          <cell r="E131">
            <v>7</v>
          </cell>
          <cell r="F131">
            <v>4</v>
          </cell>
          <cell r="G131">
            <v>0</v>
          </cell>
          <cell r="H131">
            <v>3</v>
          </cell>
          <cell r="I131">
            <v>53</v>
          </cell>
          <cell r="J131">
            <v>45</v>
          </cell>
        </row>
        <row r="132">
          <cell r="B132" t="str">
            <v>-</v>
          </cell>
          <cell r="C132" t="str">
            <v>MUZILLAC TT 5</v>
          </cell>
          <cell r="D132">
            <v>15.000051858059065</v>
          </cell>
          <cell r="E132">
            <v>7</v>
          </cell>
          <cell r="F132">
            <v>4</v>
          </cell>
          <cell r="G132">
            <v>0</v>
          </cell>
          <cell r="H132">
            <v>3</v>
          </cell>
          <cell r="I132">
            <v>54</v>
          </cell>
          <cell r="J132">
            <v>44</v>
          </cell>
        </row>
        <row r="133">
          <cell r="B133">
            <v>4</v>
          </cell>
          <cell r="C133" t="str">
            <v>ES ST-AVE 2</v>
          </cell>
          <cell r="D133">
            <v>14.000000929825426</v>
          </cell>
          <cell r="E133">
            <v>7</v>
          </cell>
          <cell r="F133">
            <v>3</v>
          </cell>
          <cell r="G133">
            <v>1</v>
          </cell>
          <cell r="H133">
            <v>3</v>
          </cell>
          <cell r="I133">
            <v>47</v>
          </cell>
          <cell r="J133">
            <v>51</v>
          </cell>
        </row>
        <row r="134">
          <cell r="B134">
            <v>5</v>
          </cell>
          <cell r="C134" t="str">
            <v>CTT MENIMUR 4</v>
          </cell>
          <cell r="D134">
            <v>13.000019680761751</v>
          </cell>
          <cell r="E134">
            <v>7</v>
          </cell>
          <cell r="F134">
            <v>3</v>
          </cell>
          <cell r="G134">
            <v>0</v>
          </cell>
          <cell r="H134">
            <v>4</v>
          </cell>
          <cell r="I134">
            <v>41</v>
          </cell>
          <cell r="J134">
            <v>57</v>
          </cell>
        </row>
        <row r="135">
          <cell r="B135">
            <v>6</v>
          </cell>
          <cell r="C135" t="str">
            <v>PLUNERET/MERIAD 3</v>
          </cell>
          <cell r="D135">
            <v>10.000051273234616</v>
          </cell>
          <cell r="E135">
            <v>7</v>
          </cell>
          <cell r="F135">
            <v>1</v>
          </cell>
          <cell r="G135">
            <v>1</v>
          </cell>
          <cell r="H135">
            <v>5</v>
          </cell>
          <cell r="I135">
            <v>46</v>
          </cell>
          <cell r="J135">
            <v>52</v>
          </cell>
        </row>
        <row r="136">
          <cell r="C136" t="str">
            <v>TT RHUYS 1</v>
          </cell>
          <cell r="D136">
            <v>10.000036554939857</v>
          </cell>
          <cell r="E136">
            <v>6</v>
          </cell>
          <cell r="F136">
            <v>2</v>
          </cell>
          <cell r="G136">
            <v>0</v>
          </cell>
          <cell r="H136">
            <v>4</v>
          </cell>
          <cell r="I136">
            <v>33</v>
          </cell>
          <cell r="J136">
            <v>51</v>
          </cell>
        </row>
        <row r="137">
          <cell r="C137" t="str">
            <v>CTT MENIMUR 5</v>
          </cell>
          <cell r="D137">
            <v>10.00001922981094</v>
          </cell>
          <cell r="E137">
            <v>6</v>
          </cell>
          <cell r="F137">
            <v>2</v>
          </cell>
          <cell r="G137">
            <v>0</v>
          </cell>
          <cell r="H137">
            <v>4</v>
          </cell>
          <cell r="I137">
            <v>29</v>
          </cell>
          <cell r="J137">
            <v>55</v>
          </cell>
        </row>
        <row r="139">
          <cell r="R139" t="str">
            <v>journée 1</v>
          </cell>
          <cell r="S139" t="str">
            <v>Pour cette première journée de championnat nous nous rendions à St Jean-Brévelay, accueil sympathique de Yves, Thierry, Stépahane et Yannick.
Rémy remporte haut la main ses 3 matchs, ses adversaires d'un soir ont appréciés les services bizarres ainsi que les balles hautes.
Marie-Paule ne passe pas loin du succès contre  Yannick après une superbe remontée. Quel match !
Antoine remporte avec une certaine aisance ses deux matchs et bute contre Yves à la belle SVP... bravo.
Benoît remporte également 2 matchs sans aucune aisance lui... Il a transpiré le gros...
Rémy et Benoît remportent également leur double.
Globalement si on doit analyser cette soirée, le niveau pour jouer en D4 est correct mais on manque cruellement d'entraînement.
Benoît Un capitaine heureux.</v>
          </cell>
          <cell r="T139" t="str">
            <v>Entrée en matière très serrée</v>
          </cell>
        </row>
        <row r="140">
          <cell r="K140">
            <v>1018.09</v>
          </cell>
          <cell r="R140" t="str">
            <v>journée 2</v>
          </cell>
          <cell r="S140" t="str">
            <v>Pour cette deuxième journée de championnat, nous recevions la jeune et sympathique équipe de Questembert.
Fabien, Adrien, Kévin et Olivier.
Pas grand chose à dire hormis le fait que c'est une équipe composé de débutants, sauf Fabien qui joue 6.
Muzillac à joué sérieusement et avec le respect dû aux partenaires du soir.
Marie Paule et Allan (blessé) ne parviennent pas à maîtriser le jeune et sympathique Fabien mais remportent les matchs suivants avec brio.
Antoine et Benoît remportent leurs matchs sans grandes difficultés.
Marie-Paule et Benoît remporte leur double, Antoine et Allan également.
Nous souhaitons bon vent à cette équipe de jeunes qui va vite progresser .
Deuxième journée, deuxième victoire. Jusqu'ici tout va bien...
Benoît un capitaine heureux.</v>
          </cell>
          <cell r="T140" t="str">
            <v>Victoire sans beaucoup de suspens</v>
          </cell>
        </row>
        <row r="141">
          <cell r="K141">
            <v>929.077</v>
          </cell>
          <cell r="R141" t="str">
            <v>journée 3</v>
          </cell>
          <cell r="S141" t="str">
            <v>Pour cette troisième journée de championnat MTT6 se déplaçait à Plumelec. La route de plumelec est un réel bonheur...
Accueil sympathique de Jacques, Noah, Laurent et Mathis.
Même si le score peut paraître sévère, la résistance de nos adversaires fût bien réelle.
Rémy remporte ses 3 matchs avec aisance en se permettant même de faire durer le plaisir, le coquin...
Antoine remporte également ses 3 matchs tranquillement mais surement.
Marie-Paule remporte son match contre Jacques et trébuche de justesse contre Noah et Laurent.
Benoît remporte également ses trois matchs, en suant comme un goret.
Marie-Paule et Rémy remporte leur double, Antoine et Benoît également.
Jusqu'ici tout va bien !
Benoît, un capitaine heureux.</v>
          </cell>
          <cell r="T141" t="str">
            <v xml:space="preserve">Victoire avec aisance </v>
          </cell>
        </row>
        <row r="142">
          <cell r="K142">
            <v>832.08</v>
          </cell>
          <cell r="R142" t="str">
            <v>journée 4</v>
          </cell>
          <cell r="S142" t="str">
            <v xml:space="preserve">Pour cette quatrième journée de championnat, nous recevions la sympathique équipe de St Nolf, composée de: Nadine, Xavier, Alexis et Melvin.
Encore une fois le score peut paraitre sévère mais St Nolf s'est très honorablement battu et surtout n'a jamais baissé les bras, en se bagarrant sur chaque point, il nous à donc fallu rester vigilant jusqu'à la dernière minute.
Malgré une douleur persistante au dos, Rémy remporte encore une fois ses 3 matchs, les jeunes de St Nolf ont beaucoup appréciés le jeu aérien de Rémy.
Alan était tout simplement IMPRESSIONNANT hier soir, il n'a absolument laissé aucune chance à nos sympathiques adversaires du jour. Les points sortis étaient absolument magnifiques, top coup droit, revers tout passait. Bravo.(Dernière année de D4 pour notre ami Alan...)
Antoine bute sur Alexis et remporte tranquillement les deux matchs suivant.
Benoît remporte également ses trois matchs en transpirant, (il dérouille le gros).
Rémy et Benoît remporte leur double, Alan et Antoine également.
Prochaine étape le 28/11/2014 chez nos amis d'Argoët.
Jusqu'ici tout va bien.
Benoît, un capitaine heureux. </v>
          </cell>
          <cell r="T142" t="str">
            <v>une victoire nette et sans bavure !</v>
          </cell>
        </row>
        <row r="143">
          <cell r="K143">
            <v>649.08399999999995</v>
          </cell>
          <cell r="R143" t="str">
            <v>journée 5</v>
          </cell>
          <cell r="S143" t="str">
            <v>au repos cette semaine</v>
          </cell>
          <cell r="T143" t="str">
            <v>au repos cette semaine</v>
          </cell>
        </row>
        <row r="144">
          <cell r="K144">
            <v>630.05499999999995</v>
          </cell>
          <cell r="R144" t="str">
            <v>journée 6</v>
          </cell>
          <cell r="S144" t="str">
            <v>Pour cette avant dernière journée de championnat, nous recevions la sympathique équipe de Ploërmel, composée de Jean-Marc, David, Sébastien et Antoine.
Ambiance sympathique et conviviale, de l'estime entre tous les joueurs et énormément de RESPECT dans le jeu, ainsi qu'autour de la table et son aire de jeu.
Les petits joueurs de D4 que nous sommes, apprécierions que tous aient cette même DELICATESSE. On place nos invités, on les invite à jouer sur les tables prévues pour les matchs, nous aussi nous avons besoin de nous entrainer, pour finir on ne traverse pas l'aire de jeux de la D4 pendant les matchs, on attend que le point soit fini. A bon entendeur merci.
Reprenons le cours de cette merveilleuse soirée... Notre leader Rémy comme à son habitude remporte ses 3 matchs avec aisance, tout en faisant jouer nos invités qui prennent un énorme plaisir contre un joueur nettement supérieur mais respectueux des différences de niveau.Rémy c'est la grande classe.
Alan remporte également ses 3 matchs avec intelligence (l'analyse du jeu adverse est réelle) et un très grand respect des invités également. La D3 est largement mérité et accessible pour Alan. Bravo.
Antoine donne tout avec également la classe et le respect que l'on peut trouver en D4. Bravo, il manque de réussite contre Jean-Marc et Sébastien mais la volonté est bien là.
Benoît s'en sort avec un peu de réussite et remporte ses 3 matchs. Il transpire toujours le gros.
Rémy et Benoît remporte leur double Alan et Antoine également.
Merci à Marie-Paule notre co-équipière pour sa présence, ses encouragements et son arbitrage, on gagne aussi grâce à cet état d'esprit, qui se compose de tellement de chose enrobé d'énormément de respect.
Merci à tous, la montée en D3 est (plus que probable).
Benoît un capitaine (toujours) heureux.</v>
          </cell>
          <cell r="T144" t="str">
            <v>La montée assurée à 95 %</v>
          </cell>
        </row>
        <row r="145">
          <cell r="K145" t="str">
            <v/>
          </cell>
          <cell r="R145" t="str">
            <v>journée 7</v>
          </cell>
          <cell r="S145" t="str">
            <v xml:space="preserve">Sympathique déplacement à Elven ce vendredi 12 décembre.
Nos hôtes du jour : Alain, Philippe, Allan et Mickaël nous attendaient de pied ferme.
Rémy, comme à son habitude lors de cette phase allée à été très joueur mais sans pitié pour nos adversaires du jour. Il remporte aisément ses 3 matchs.
Marie-Paule remporte avec brio et détermination 2 matchs dont un dans le 4ième set 19/17. Waouhhhh. Bravo Marie-Paule.
Alann, comme à son habitude remporte également ses trois matchs avec ténacité et une bonne analyse du jeu adverse. Bravo, Alann mérite largement sa place en D3.
Benoît ne gagne qu'un match, il en perd un à la belle après avoir mené 2/0. Phase 2, il fait du tricot le gros.
Rémy et Marie-Paule rate de peu le double, pendant que Alann et Benoît remporte le leur.
Merci à Antoine qui ne jouait pas hier soir.
Que vous dire de plus les amis....
On est les champions, on est les champions, on est les champions, lalalalalalalalalalalalalalalalalalalallalalalalalalalalalalalalalalalalalalalalalallalalalalallalalallalalallalal.
Marie-Paule, Rémy, Benoît, Alann et Antoine vous souhaite de joyeuses fêtes de fin d'année.
</v>
          </cell>
          <cell r="T145" t="str">
            <v>Le sans faute est confirmé !</v>
          </cell>
        </row>
        <row r="146">
          <cell r="K146" t="str">
            <v/>
          </cell>
          <cell r="R146" t="str">
            <v>journée 8</v>
          </cell>
          <cell r="S146" t="str">
            <v xml:space="preserve"> Très bonne soirée ,le combat fut parfois rude (corentin) qui méritait mieux.globalement satisfaction générale.bravo a tous.                   Emile</v>
          </cell>
          <cell r="T146" t="str">
            <v>Victoire méritée face à Saint Avé !</v>
          </cell>
        </row>
        <row r="147">
          <cell r="R147" t="str">
            <v>journée 9</v>
          </cell>
          <cell r="S147" t="str">
            <v xml:space="preserve"> très belle soirée.équipe très motivée .2 perfs.michel+emile. rémy a apporté son expérience .franck assure.</v>
          </cell>
          <cell r="T147" t="str">
            <v>Expérience et maitrise</v>
          </cell>
        </row>
        <row r="148">
          <cell r="R148" t="str">
            <v>journée 10</v>
          </cell>
          <cell r="S148" t="str">
            <v xml:space="preserve"> victoire acquise après de rudes échanges(.7 belles au total.5 victoires).bravo a tous. bonnes vacances</v>
          </cell>
        </row>
        <row r="149">
          <cell r="R149" t="str">
            <v>journée 11</v>
          </cell>
          <cell r="T149" t="str">
            <v>Partage logique des points …</v>
          </cell>
        </row>
        <row r="150">
          <cell r="R150" t="str">
            <v>journée 12</v>
          </cell>
          <cell r="S150" t="str">
            <v xml:space="preserve"> très belle performance de l'équipe en générale..bravo a tous </v>
          </cell>
          <cell r="T150" t="str">
            <v>La belle série continue … objectifs ?</v>
          </cell>
        </row>
        <row r="151">
          <cell r="R151" t="str">
            <v>journée 13</v>
          </cell>
          <cell r="S151" t="str">
            <v xml:space="preserve"> Belle soirée équipe adverse sympa . victoire méritée .matchs très disputés.</v>
          </cell>
          <cell r="T151" t="str">
            <v>Mais ou vont-ils s'arréter ?</v>
          </cell>
        </row>
        <row r="152">
          <cell r="R152" t="str">
            <v>journée 14</v>
          </cell>
          <cell r="S152" t="str">
            <v xml:space="preserve"> occasion manquée.pour ce dernier match.dommage car c'était possible .enfin belle saison 2014/2015,l'objectif est atteint.merci a tous.emile</v>
          </cell>
          <cell r="T152" t="str">
            <v>L'expérience a fait la différence</v>
          </cell>
        </row>
        <row r="153">
          <cell r="B153">
            <v>1</v>
          </cell>
          <cell r="C153" t="str">
            <v>SENE TT 3</v>
          </cell>
          <cell r="D153">
            <v>21.000012966600476</v>
          </cell>
          <cell r="E153">
            <v>7</v>
          </cell>
          <cell r="F153">
            <v>7</v>
          </cell>
          <cell r="G153">
            <v>0</v>
          </cell>
          <cell r="H153">
            <v>0</v>
          </cell>
          <cell r="I153">
            <v>80</v>
          </cell>
          <cell r="J153">
            <v>18</v>
          </cell>
        </row>
        <row r="154">
          <cell r="B154">
            <v>2</v>
          </cell>
          <cell r="C154" t="str">
            <v>MUZILLAC TT 6</v>
          </cell>
          <cell r="D154">
            <v>18.000010791450908</v>
          </cell>
          <cell r="E154">
            <v>7</v>
          </cell>
          <cell r="F154">
            <v>5</v>
          </cell>
          <cell r="G154">
            <v>1</v>
          </cell>
          <cell r="H154">
            <v>1</v>
          </cell>
          <cell r="I154">
            <v>63</v>
          </cell>
          <cell r="J154">
            <v>35</v>
          </cell>
        </row>
        <row r="155">
          <cell r="B155">
            <v>3</v>
          </cell>
          <cell r="C155" t="str">
            <v>CTT MENIMUR 6</v>
          </cell>
          <cell r="D155">
            <v>15.000063407774354</v>
          </cell>
          <cell r="E155">
            <v>7</v>
          </cell>
          <cell r="F155">
            <v>4</v>
          </cell>
          <cell r="G155">
            <v>0</v>
          </cell>
          <cell r="H155">
            <v>3</v>
          </cell>
          <cell r="I155">
            <v>60</v>
          </cell>
          <cell r="J155">
            <v>38</v>
          </cell>
        </row>
        <row r="156">
          <cell r="B156">
            <v>4</v>
          </cell>
          <cell r="C156" t="str">
            <v>ES ST-AVE 1</v>
          </cell>
          <cell r="D156">
            <v>13.000074035162916</v>
          </cell>
          <cell r="E156">
            <v>7</v>
          </cell>
          <cell r="F156">
            <v>2</v>
          </cell>
          <cell r="G156">
            <v>2</v>
          </cell>
          <cell r="H156">
            <v>3</v>
          </cell>
          <cell r="I156">
            <v>43</v>
          </cell>
          <cell r="J156">
            <v>55</v>
          </cell>
        </row>
        <row r="157">
          <cell r="B157" t="str">
            <v>-</v>
          </cell>
          <cell r="C157" t="str">
            <v>ARGOET STT 2</v>
          </cell>
          <cell r="D157">
            <v>13.000011469301867</v>
          </cell>
          <cell r="E157">
            <v>7</v>
          </cell>
          <cell r="F157">
            <v>3</v>
          </cell>
          <cell r="G157">
            <v>0</v>
          </cell>
          <cell r="H157">
            <v>4</v>
          </cell>
          <cell r="I157">
            <v>37</v>
          </cell>
          <cell r="J157">
            <v>61</v>
          </cell>
        </row>
        <row r="158">
          <cell r="B158">
            <v>6</v>
          </cell>
          <cell r="C158" t="str">
            <v>FC ST-RAOUL 2</v>
          </cell>
          <cell r="D158">
            <v>12.000028074268863</v>
          </cell>
          <cell r="E158">
            <v>7</v>
          </cell>
          <cell r="F158">
            <v>1</v>
          </cell>
          <cell r="G158">
            <v>3</v>
          </cell>
          <cell r="H158">
            <v>3</v>
          </cell>
          <cell r="I158">
            <v>41</v>
          </cell>
          <cell r="J158">
            <v>57</v>
          </cell>
        </row>
        <row r="159">
          <cell r="B159">
            <v>7</v>
          </cell>
          <cell r="C159" t="str">
            <v>RM PLUMELEC 2</v>
          </cell>
          <cell r="D159">
            <v>11.00000345467217</v>
          </cell>
          <cell r="E159">
            <v>7</v>
          </cell>
          <cell r="F159">
            <v>1</v>
          </cell>
          <cell r="G159">
            <v>2</v>
          </cell>
          <cell r="H159">
            <v>4</v>
          </cell>
          <cell r="I159">
            <v>35</v>
          </cell>
          <cell r="J159">
            <v>63</v>
          </cell>
        </row>
        <row r="160">
          <cell r="B160">
            <v>7</v>
          </cell>
          <cell r="C160" t="str">
            <v>Exempt</v>
          </cell>
          <cell r="D160">
            <v>9.00003237503992</v>
          </cell>
          <cell r="E160">
            <v>7</v>
          </cell>
          <cell r="F160">
            <v>1</v>
          </cell>
          <cell r="G160">
            <v>0</v>
          </cell>
          <cell r="H160">
            <v>6</v>
          </cell>
          <cell r="I160">
            <v>33</v>
          </cell>
          <cell r="J160">
            <v>65</v>
          </cell>
        </row>
        <row r="163">
          <cell r="K163">
            <v>736.07299999999998</v>
          </cell>
        </row>
        <row r="164">
          <cell r="K164">
            <v>500.04700000000003</v>
          </cell>
        </row>
        <row r="165">
          <cell r="K165">
            <v>1067.068</v>
          </cell>
        </row>
        <row r="166">
          <cell r="K166">
            <v>665.01900000000001</v>
          </cell>
        </row>
        <row r="167">
          <cell r="K167" t="str">
            <v/>
          </cell>
        </row>
        <row r="176">
          <cell r="B176">
            <v>1</v>
          </cell>
          <cell r="C176" t="str">
            <v>AS ST PHILIBERT 2</v>
          </cell>
          <cell r="D176">
            <v>21.000096326756061</v>
          </cell>
          <cell r="E176">
            <v>7</v>
          </cell>
          <cell r="F176">
            <v>7</v>
          </cell>
          <cell r="G176">
            <v>0</v>
          </cell>
          <cell r="H176">
            <v>0</v>
          </cell>
          <cell r="I176">
            <v>74</v>
          </cell>
          <cell r="J176">
            <v>24</v>
          </cell>
        </row>
        <row r="177">
          <cell r="B177">
            <v>2</v>
          </cell>
          <cell r="C177" t="str">
            <v>GOLFETT PLOEREN 2</v>
          </cell>
          <cell r="D177">
            <v>17.000094423364974</v>
          </cell>
          <cell r="E177">
            <v>7</v>
          </cell>
          <cell r="F177">
            <v>5</v>
          </cell>
          <cell r="G177">
            <v>0</v>
          </cell>
          <cell r="H177">
            <v>2</v>
          </cell>
          <cell r="I177">
            <v>62</v>
          </cell>
          <cell r="J177">
            <v>36</v>
          </cell>
        </row>
        <row r="178">
          <cell r="B178">
            <v>3</v>
          </cell>
          <cell r="C178" t="str">
            <v>TT QUIBERON 1</v>
          </cell>
          <cell r="D178">
            <v>14.000077153885668</v>
          </cell>
          <cell r="E178">
            <v>7</v>
          </cell>
          <cell r="F178">
            <v>3</v>
          </cell>
          <cell r="G178">
            <v>1</v>
          </cell>
          <cell r="H178">
            <v>3</v>
          </cell>
          <cell r="I178">
            <v>51</v>
          </cell>
          <cell r="J178">
            <v>47</v>
          </cell>
        </row>
        <row r="179">
          <cell r="B179">
            <v>4</v>
          </cell>
          <cell r="C179" t="str">
            <v>BAUD TT 3</v>
          </cell>
          <cell r="D179">
            <v>13.00009016263078</v>
          </cell>
          <cell r="E179">
            <v>7</v>
          </cell>
          <cell r="F179">
            <v>3</v>
          </cell>
          <cell r="G179">
            <v>0</v>
          </cell>
          <cell r="H179">
            <v>4</v>
          </cell>
          <cell r="I179">
            <v>43</v>
          </cell>
          <cell r="J179">
            <v>55</v>
          </cell>
        </row>
        <row r="180">
          <cell r="B180" t="str">
            <v>-</v>
          </cell>
          <cell r="C180" t="str">
            <v>TT ERDEVEN-BELZ 1</v>
          </cell>
          <cell r="D180">
            <v>13.000065330690823</v>
          </cell>
          <cell r="E180">
            <v>5</v>
          </cell>
          <cell r="F180">
            <v>4</v>
          </cell>
          <cell r="G180">
            <v>0</v>
          </cell>
          <cell r="H180">
            <v>1</v>
          </cell>
          <cell r="I180">
            <v>48</v>
          </cell>
          <cell r="J180">
            <v>22</v>
          </cell>
        </row>
        <row r="181">
          <cell r="B181">
            <v>6</v>
          </cell>
          <cell r="C181" t="str">
            <v>AJK VANNES 5</v>
          </cell>
          <cell r="D181">
            <v>11.0000936543503</v>
          </cell>
          <cell r="E181">
            <v>7</v>
          </cell>
          <cell r="F181">
            <v>2</v>
          </cell>
          <cell r="G181">
            <v>0</v>
          </cell>
          <cell r="H181">
            <v>5</v>
          </cell>
          <cell r="I181">
            <v>46</v>
          </cell>
          <cell r="J181">
            <v>52</v>
          </cell>
        </row>
        <row r="182">
          <cell r="B182">
            <v>7</v>
          </cell>
          <cell r="C182" t="str">
            <v>AL PLOEMEUR 8</v>
          </cell>
          <cell r="D182">
            <v>10.000047295362281</v>
          </cell>
          <cell r="E182">
            <v>6</v>
          </cell>
          <cell r="F182">
            <v>2</v>
          </cell>
          <cell r="G182">
            <v>0</v>
          </cell>
          <cell r="H182">
            <v>4</v>
          </cell>
          <cell r="I182">
            <v>25</v>
          </cell>
          <cell r="J182">
            <v>59</v>
          </cell>
        </row>
        <row r="183">
          <cell r="B183">
            <v>7</v>
          </cell>
          <cell r="C183" t="str">
            <v>MUZILLAC TT 7</v>
          </cell>
          <cell r="D183">
            <v>8.0000308160880067</v>
          </cell>
          <cell r="E183">
            <v>7</v>
          </cell>
          <cell r="F183">
            <v>0</v>
          </cell>
          <cell r="G183">
            <v>1</v>
          </cell>
          <cell r="H183">
            <v>6</v>
          </cell>
          <cell r="I183">
            <v>24</v>
          </cell>
          <cell r="J183">
            <v>74</v>
          </cell>
        </row>
        <row r="185">
          <cell r="B185" t="str">
            <v>Clt</v>
          </cell>
          <cell r="C185" t="str">
            <v>MTT 8:  D4     G</v>
          </cell>
          <cell r="D185" t="str">
            <v>Pts</v>
          </cell>
          <cell r="E185" t="str">
            <v>Joués</v>
          </cell>
          <cell r="F185" t="str">
            <v>vic</v>
          </cell>
          <cell r="G185" t="str">
            <v>nul</v>
          </cell>
          <cell r="H185" t="str">
            <v>déf</v>
          </cell>
          <cell r="I185" t="str">
            <v>PG</v>
          </cell>
          <cell r="J185" t="str">
            <v>PP</v>
          </cell>
        </row>
        <row r="186">
          <cell r="B186">
            <v>1</v>
          </cell>
          <cell r="C186" t="str">
            <v>TT PAYS LOCMINE 4</v>
          </cell>
          <cell r="D186">
            <v>16.000073469798888</v>
          </cell>
          <cell r="E186">
            <v>6</v>
          </cell>
          <cell r="F186">
            <v>5</v>
          </cell>
          <cell r="G186">
            <v>0</v>
          </cell>
          <cell r="H186">
            <v>1</v>
          </cell>
          <cell r="I186">
            <v>62</v>
          </cell>
          <cell r="J186">
            <v>22</v>
          </cell>
        </row>
        <row r="187">
          <cell r="B187" t="str">
            <v>-</v>
          </cell>
          <cell r="C187" t="str">
            <v>PLUNERET/MERIAD 4</v>
          </cell>
          <cell r="D187">
            <v>16.000012515850084</v>
          </cell>
          <cell r="E187">
            <v>6</v>
          </cell>
          <cell r="F187">
            <v>5</v>
          </cell>
          <cell r="G187">
            <v>0</v>
          </cell>
          <cell r="H187">
            <v>1</v>
          </cell>
          <cell r="I187">
            <v>62</v>
          </cell>
          <cell r="J187">
            <v>22</v>
          </cell>
        </row>
        <row r="188">
          <cell r="B188">
            <v>3</v>
          </cell>
          <cell r="C188" t="str">
            <v>ES PLESCOP TT 7</v>
          </cell>
          <cell r="D188">
            <v>13.0000019872301</v>
          </cell>
          <cell r="E188">
            <v>6</v>
          </cell>
          <cell r="F188">
            <v>3</v>
          </cell>
          <cell r="G188">
            <v>1</v>
          </cell>
          <cell r="H188">
            <v>2</v>
          </cell>
          <cell r="I188">
            <v>46</v>
          </cell>
          <cell r="J188">
            <v>38</v>
          </cell>
        </row>
        <row r="189">
          <cell r="B189">
            <v>4</v>
          </cell>
          <cell r="C189" t="str">
            <v>GOLFETT PLOEREN 4</v>
          </cell>
          <cell r="D189">
            <v>12.000098908508861</v>
          </cell>
          <cell r="E189">
            <v>6</v>
          </cell>
          <cell r="F189">
            <v>3</v>
          </cell>
          <cell r="G189">
            <v>0</v>
          </cell>
          <cell r="H189">
            <v>3</v>
          </cell>
          <cell r="I189">
            <v>36</v>
          </cell>
          <cell r="J189">
            <v>48</v>
          </cell>
        </row>
        <row r="190">
          <cell r="B190">
            <v>5</v>
          </cell>
          <cell r="C190" t="str">
            <v>CTT MENIMUR 7</v>
          </cell>
          <cell r="D190">
            <v>11.000030322107373</v>
          </cell>
          <cell r="E190">
            <v>6</v>
          </cell>
          <cell r="F190">
            <v>2</v>
          </cell>
          <cell r="G190">
            <v>1</v>
          </cell>
          <cell r="H190">
            <v>3</v>
          </cell>
          <cell r="I190">
            <v>40</v>
          </cell>
          <cell r="J190">
            <v>44</v>
          </cell>
        </row>
        <row r="191">
          <cell r="B191">
            <v>6</v>
          </cell>
          <cell r="C191" t="str">
            <v>MUZILLAC TT 8</v>
          </cell>
          <cell r="D191">
            <v>9.0000312649712857</v>
          </cell>
          <cell r="E191">
            <v>6</v>
          </cell>
          <cell r="F191">
            <v>1</v>
          </cell>
          <cell r="G191">
            <v>1</v>
          </cell>
          <cell r="H191">
            <v>4</v>
          </cell>
          <cell r="I191">
            <v>27</v>
          </cell>
          <cell r="J191">
            <v>57</v>
          </cell>
        </row>
        <row r="192">
          <cell r="B192">
            <v>7</v>
          </cell>
          <cell r="C192" t="str">
            <v>AS ST PHILIBERT 3</v>
          </cell>
          <cell r="D192">
            <v>7.0000225494893424</v>
          </cell>
          <cell r="E192">
            <v>6</v>
          </cell>
          <cell r="F192">
            <v>0</v>
          </cell>
          <cell r="G192">
            <v>1</v>
          </cell>
          <cell r="H192">
            <v>5</v>
          </cell>
          <cell r="I192">
            <v>21</v>
          </cell>
          <cell r="J192">
            <v>63</v>
          </cell>
        </row>
        <row r="193">
          <cell r="B193">
            <v>7</v>
          </cell>
          <cell r="C193" t="str">
            <v>Exempt</v>
          </cell>
          <cell r="D193">
            <v>5.1130897849606051E-5</v>
          </cell>
          <cell r="E193">
            <v>0</v>
          </cell>
          <cell r="F193">
            <v>0</v>
          </cell>
          <cell r="G193">
            <v>0</v>
          </cell>
          <cell r="H193">
            <v>0</v>
          </cell>
          <cell r="I193">
            <v>0</v>
          </cell>
          <cell r="J193">
            <v>0</v>
          </cell>
        </row>
        <row r="195">
          <cell r="X195">
            <v>478</v>
          </cell>
        </row>
        <row r="196">
          <cell r="X196">
            <v>503</v>
          </cell>
        </row>
        <row r="197">
          <cell r="X197">
            <v>573</v>
          </cell>
        </row>
        <row r="198">
          <cell r="X198">
            <v>721.01</v>
          </cell>
        </row>
      </sheetData>
      <sheetData sheetId="16">
        <row r="15">
          <cell r="C15">
            <v>0</v>
          </cell>
          <cell r="G15">
            <v>0</v>
          </cell>
        </row>
        <row r="25">
          <cell r="Z25">
            <v>0</v>
          </cell>
          <cell r="AD25">
            <v>0</v>
          </cell>
        </row>
        <row r="44">
          <cell r="C44">
            <v>0</v>
          </cell>
          <cell r="G44">
            <v>0</v>
          </cell>
        </row>
        <row r="58">
          <cell r="P58">
            <v>0</v>
          </cell>
          <cell r="Q58">
            <v>0</v>
          </cell>
        </row>
        <row r="59">
          <cell r="P59">
            <v>0</v>
          </cell>
          <cell r="Q59">
            <v>0</v>
          </cell>
        </row>
        <row r="60">
          <cell r="P60">
            <v>0</v>
          </cell>
          <cell r="Q60">
            <v>0</v>
          </cell>
        </row>
        <row r="61">
          <cell r="P61">
            <v>0</v>
          </cell>
          <cell r="Q61">
            <v>0</v>
          </cell>
        </row>
        <row r="62">
          <cell r="P62">
            <v>0</v>
          </cell>
          <cell r="Q62">
            <v>0</v>
          </cell>
        </row>
        <row r="63">
          <cell r="P63">
            <v>0</v>
          </cell>
          <cell r="Q63">
            <v>0</v>
          </cell>
        </row>
        <row r="65">
          <cell r="P65">
            <v>0</v>
          </cell>
          <cell r="Q65">
            <v>0</v>
          </cell>
        </row>
        <row r="66">
          <cell r="P66">
            <v>0</v>
          </cell>
          <cell r="Q66">
            <v>0</v>
          </cell>
        </row>
        <row r="67">
          <cell r="P67">
            <v>0</v>
          </cell>
          <cell r="Q67">
            <v>0</v>
          </cell>
        </row>
        <row r="68">
          <cell r="P68">
            <v>0</v>
          </cell>
          <cell r="Q68">
            <v>0</v>
          </cell>
        </row>
        <row r="69">
          <cell r="P69">
            <v>0</v>
          </cell>
          <cell r="Q69">
            <v>0</v>
          </cell>
        </row>
        <row r="70">
          <cell r="P70">
            <v>0</v>
          </cell>
          <cell r="Q70">
            <v>0</v>
          </cell>
        </row>
        <row r="74">
          <cell r="P74">
            <v>0</v>
          </cell>
          <cell r="Q74">
            <v>0</v>
          </cell>
        </row>
        <row r="75">
          <cell r="P75">
            <v>0</v>
          </cell>
          <cell r="Q75">
            <v>0</v>
          </cell>
        </row>
        <row r="76">
          <cell r="P76">
            <v>0</v>
          </cell>
          <cell r="Q76">
            <v>0</v>
          </cell>
        </row>
        <row r="77">
          <cell r="P77">
            <v>0</v>
          </cell>
          <cell r="Q77">
            <v>0</v>
          </cell>
        </row>
        <row r="78">
          <cell r="P78">
            <v>0</v>
          </cell>
          <cell r="Q78">
            <v>0</v>
          </cell>
        </row>
        <row r="79">
          <cell r="P79">
            <v>0</v>
          </cell>
          <cell r="Q79">
            <v>0</v>
          </cell>
        </row>
      </sheetData>
      <sheetData sheetId="17"/>
      <sheetData sheetId="18">
        <row r="1">
          <cell r="AE1" t="str">
            <v>nbre de journées</v>
          </cell>
          <cell r="AY1" t="str">
            <v>Brulé en :</v>
          </cell>
          <cell r="BA1">
            <v>14</v>
          </cell>
          <cell r="BC1" t="str">
            <v>Journée</v>
          </cell>
          <cell r="BD1">
            <v>14</v>
          </cell>
          <cell r="BH1" t="str">
            <v>CHAMPIONNAT SAISON :</v>
          </cell>
          <cell r="BN1" t="str">
            <v>2014 / 2015</v>
          </cell>
          <cell r="BY1" t="str">
            <v>éq1</v>
          </cell>
          <cell r="CA1" t="str">
            <v>éq2</v>
          </cell>
          <cell r="CC1" t="str">
            <v>éq3</v>
          </cell>
          <cell r="CE1" t="str">
            <v>éq4</v>
          </cell>
          <cell r="CG1" t="str">
            <v>éq5</v>
          </cell>
          <cell r="CI1" t="str">
            <v>éq6</v>
          </cell>
          <cell r="CK1" t="str">
            <v>éq7</v>
          </cell>
          <cell r="CM1" t="str">
            <v>éq8</v>
          </cell>
          <cell r="CO1" t="str">
            <v>n° d'équipe</v>
          </cell>
          <cell r="CQ1" t="str">
            <v>Nombre de matchs disputés par journée</v>
          </cell>
          <cell r="DE1" t="str">
            <v>nbre total de victoires</v>
          </cell>
          <cell r="DF1" t="str">
            <v>nbre de match/joueur/journée</v>
          </cell>
          <cell r="DG1" t="str">
            <v>nbre total de matchs</v>
          </cell>
          <cell r="DH1" t="str">
            <v>% général</v>
          </cell>
        </row>
        <row r="2">
          <cell r="A2" t="str">
            <v>Couture Nicolas</v>
          </cell>
          <cell r="B2">
            <v>1</v>
          </cell>
          <cell r="C2">
            <v>1</v>
          </cell>
          <cell r="D2">
            <v>1</v>
          </cell>
          <cell r="E2">
            <v>1</v>
          </cell>
          <cell r="F2">
            <v>1</v>
          </cell>
          <cell r="G2">
            <v>1</v>
          </cell>
          <cell r="H2">
            <v>1</v>
          </cell>
          <cell r="I2">
            <v>1</v>
          </cell>
          <cell r="J2">
            <v>1</v>
          </cell>
          <cell r="K2">
            <v>1</v>
          </cell>
          <cell r="M2">
            <v>1</v>
          </cell>
          <cell r="N2">
            <v>1</v>
          </cell>
          <cell r="O2">
            <v>1</v>
          </cell>
          <cell r="Q2">
            <v>3</v>
          </cell>
          <cell r="R2">
            <v>3</v>
          </cell>
          <cell r="S2">
            <v>2</v>
          </cell>
          <cell r="T2">
            <v>2</v>
          </cell>
          <cell r="U2">
            <v>2</v>
          </cell>
          <cell r="V2">
            <v>2</v>
          </cell>
          <cell r="W2">
            <v>3</v>
          </cell>
          <cell r="X2">
            <v>3</v>
          </cell>
          <cell r="Y2">
            <v>2</v>
          </cell>
          <cell r="AA2">
            <v>1</v>
          </cell>
          <cell r="AB2">
            <v>2</v>
          </cell>
          <cell r="AC2">
            <v>2</v>
          </cell>
          <cell r="AE2">
            <v>12</v>
          </cell>
          <cell r="AF2">
            <v>17</v>
          </cell>
          <cell r="AG2">
            <v>21</v>
          </cell>
          <cell r="AH2">
            <v>0.80953091483784168</v>
          </cell>
          <cell r="AI2">
            <v>10</v>
          </cell>
          <cell r="AJ2">
            <v>15</v>
          </cell>
          <cell r="AK2">
            <v>0.66667112468252221</v>
          </cell>
          <cell r="AL2">
            <v>27</v>
          </cell>
          <cell r="AM2">
            <v>36</v>
          </cell>
          <cell r="AN2">
            <v>0.75000182840072005</v>
          </cell>
          <cell r="AO2">
            <v>1.0077808675861923</v>
          </cell>
          <cell r="AP2">
            <v>1.0060258452762039</v>
          </cell>
          <cell r="AQ2">
            <v>1.0068247789439673</v>
          </cell>
          <cell r="AR2" t="str">
            <v>e</v>
          </cell>
          <cell r="AS2">
            <v>1.0065179790270444</v>
          </cell>
          <cell r="AT2">
            <v>1.007573389031257</v>
          </cell>
          <cell r="AU2">
            <v>1.0052986058703874</v>
          </cell>
          <cell r="AV2" t="str">
            <v>e</v>
          </cell>
          <cell r="AX2" t="str">
            <v>Couture Nicolas</v>
          </cell>
          <cell r="AY2" t="str">
            <v/>
          </cell>
          <cell r="AZ2">
            <v>1</v>
          </cell>
          <cell r="BB2" t="str">
            <v>Clt</v>
          </cell>
          <cell r="BC2" t="str">
            <v>MTT 1:  R2     C</v>
          </cell>
          <cell r="BD2" t="str">
            <v>Pts</v>
          </cell>
          <cell r="BE2" t="str">
            <v>Joués</v>
          </cell>
          <cell r="BF2" t="str">
            <v>vic</v>
          </cell>
          <cell r="BG2" t="str">
            <v>nul</v>
          </cell>
          <cell r="BH2" t="str">
            <v>déf</v>
          </cell>
          <cell r="BI2" t="str">
            <v>PG</v>
          </cell>
          <cell r="BJ2" t="str">
            <v>PP</v>
          </cell>
          <cell r="BL2" t="str">
            <v>Clt</v>
          </cell>
          <cell r="BM2" t="str">
            <v>MTT 2:  D1     C</v>
          </cell>
          <cell r="BN2" t="str">
            <v>Pts</v>
          </cell>
          <cell r="BO2" t="str">
            <v>Joués</v>
          </cell>
          <cell r="BP2" t="str">
            <v>vic</v>
          </cell>
          <cell r="BQ2" t="str">
            <v>nul</v>
          </cell>
          <cell r="BR2" t="str">
            <v>déf</v>
          </cell>
          <cell r="BS2" t="str">
            <v>PG</v>
          </cell>
          <cell r="BT2" t="str">
            <v>PP</v>
          </cell>
          <cell r="BV2" t="str">
            <v>Prochaine journée</v>
          </cell>
          <cell r="BX2" t="str">
            <v/>
          </cell>
          <cell r="BY2">
            <v>5.0000351048015066</v>
          </cell>
          <cell r="BZ2" t="str">
            <v>Couture Nicolas</v>
          </cell>
          <cell r="CA2">
            <v>2.914416388874399E-5</v>
          </cell>
          <cell r="CB2" t="str">
            <v/>
          </cell>
          <cell r="CC2">
            <v>6.940915878327788E-5</v>
          </cell>
          <cell r="CD2" t="str">
            <v/>
          </cell>
          <cell r="CE2">
            <v>9.028971800504648E-5</v>
          </cell>
          <cell r="CF2" t="str">
            <v/>
          </cell>
          <cell r="CG2">
            <v>2.0703861344024424E-5</v>
          </cell>
          <cell r="CH2" t="str">
            <v/>
          </cell>
          <cell r="CI2">
            <v>1.9774332037730058E-5</v>
          </cell>
          <cell r="CJ2" t="str">
            <v/>
          </cell>
          <cell r="CK2">
            <v>9.6859933995092302E-5</v>
          </cell>
          <cell r="CL2" t="str">
            <v/>
          </cell>
          <cell r="CM2">
            <v>8.9297156754083464E-5</v>
          </cell>
          <cell r="CN2" t="str">
            <v/>
          </cell>
          <cell r="CO2">
            <v>1</v>
          </cell>
          <cell r="CP2">
            <v>12.002258605861888</v>
          </cell>
          <cell r="CQ2">
            <v>3</v>
          </cell>
          <cell r="CR2">
            <v>3</v>
          </cell>
          <cell r="CS2">
            <v>3</v>
          </cell>
          <cell r="CT2">
            <v>3</v>
          </cell>
          <cell r="CU2">
            <v>3</v>
          </cell>
          <cell r="CV2">
            <v>3</v>
          </cell>
          <cell r="CW2">
            <v>3</v>
          </cell>
          <cell r="CX2">
            <v>3</v>
          </cell>
          <cell r="CY2">
            <v>3</v>
          </cell>
          <cell r="CZ2">
            <v>0</v>
          </cell>
          <cell r="DA2">
            <v>3</v>
          </cell>
          <cell r="DB2">
            <v>3</v>
          </cell>
          <cell r="DC2">
            <v>3</v>
          </cell>
          <cell r="DD2">
            <v>0</v>
          </cell>
          <cell r="DE2">
            <v>37</v>
          </cell>
          <cell r="DF2">
            <v>3</v>
          </cell>
          <cell r="DG2">
            <v>51</v>
          </cell>
          <cell r="DH2">
            <v>0.7255158559086381</v>
          </cell>
          <cell r="DJ2">
            <v>51.675488643876776</v>
          </cell>
          <cell r="DK2" t="str">
            <v>Couture Nicolas</v>
          </cell>
        </row>
        <row r="3">
          <cell r="A3" t="str">
            <v>Beyl Yann</v>
          </cell>
          <cell r="B3">
            <v>1</v>
          </cell>
          <cell r="C3">
            <v>1</v>
          </cell>
          <cell r="D3">
            <v>1</v>
          </cell>
          <cell r="E3">
            <v>1</v>
          </cell>
          <cell r="G3">
            <v>1</v>
          </cell>
          <cell r="H3">
            <v>1</v>
          </cell>
          <cell r="I3">
            <v>1</v>
          </cell>
          <cell r="L3">
            <v>1</v>
          </cell>
          <cell r="M3">
            <v>1</v>
          </cell>
          <cell r="N3">
            <v>1</v>
          </cell>
          <cell r="O3">
            <v>1</v>
          </cell>
          <cell r="Q3">
            <v>2</v>
          </cell>
          <cell r="R3">
            <v>2</v>
          </cell>
          <cell r="S3">
            <v>2</v>
          </cell>
          <cell r="U3">
            <v>3</v>
          </cell>
          <cell r="V3">
            <v>3</v>
          </cell>
          <cell r="W3">
            <v>2</v>
          </cell>
          <cell r="Z3">
            <v>2</v>
          </cell>
          <cell r="AA3">
            <v>2</v>
          </cell>
          <cell r="AB3">
            <v>1</v>
          </cell>
          <cell r="AC3">
            <v>3</v>
          </cell>
          <cell r="AE3">
            <v>10</v>
          </cell>
          <cell r="AF3">
            <v>14</v>
          </cell>
          <cell r="AG3">
            <v>18</v>
          </cell>
          <cell r="AH3">
            <v>0.77778435129699974</v>
          </cell>
          <cell r="AI3">
            <v>8</v>
          </cell>
          <cell r="AJ3">
            <v>12</v>
          </cell>
          <cell r="AK3">
            <v>0.66666705674552351</v>
          </cell>
          <cell r="AL3">
            <v>22</v>
          </cell>
          <cell r="AM3">
            <v>30</v>
          </cell>
          <cell r="AN3">
            <v>0.73334110513776274</v>
          </cell>
          <cell r="AO3">
            <v>1.000710753915014</v>
          </cell>
          <cell r="AP3" t="str">
            <v>e</v>
          </cell>
          <cell r="AQ3" t="str">
            <v>e</v>
          </cell>
          <cell r="AR3">
            <v>1.0011512580369313</v>
          </cell>
          <cell r="AS3">
            <v>1.0063344011042086</v>
          </cell>
          <cell r="AT3">
            <v>1.0009516761841371</v>
          </cell>
          <cell r="AU3">
            <v>1.0008126958780585</v>
          </cell>
          <cell r="AV3" t="str">
            <v>e</v>
          </cell>
          <cell r="AX3" t="str">
            <v>Beyl Yann</v>
          </cell>
          <cell r="AY3" t="str">
            <v/>
          </cell>
          <cell r="AZ3">
            <v>1</v>
          </cell>
          <cell r="BB3">
            <v>1</v>
          </cell>
          <cell r="BC3" t="str">
            <v>AC PLERIN 3</v>
          </cell>
          <cell r="BD3">
            <v>21.000096948836568</v>
          </cell>
          <cell r="BE3">
            <v>7</v>
          </cell>
          <cell r="BF3">
            <v>7</v>
          </cell>
          <cell r="BG3">
            <v>0</v>
          </cell>
          <cell r="BH3">
            <v>0</v>
          </cell>
          <cell r="BI3">
            <v>77</v>
          </cell>
          <cell r="BJ3">
            <v>21</v>
          </cell>
          <cell r="BL3">
            <v>1</v>
          </cell>
          <cell r="BM3" t="str">
            <v>MUZILLAC TT 2</v>
          </cell>
          <cell r="BN3">
            <v>19.000061026416272</v>
          </cell>
          <cell r="BO3">
            <v>7</v>
          </cell>
          <cell r="BP3">
            <v>5</v>
          </cell>
          <cell r="BQ3">
            <v>2</v>
          </cell>
          <cell r="BR3">
            <v>0</v>
          </cell>
          <cell r="BS3">
            <v>67</v>
          </cell>
          <cell r="BT3">
            <v>31</v>
          </cell>
          <cell r="BV3" t="str">
            <v>MTT 1:  R2     C</v>
          </cell>
          <cell r="BW3" t="b">
            <v>0</v>
          </cell>
          <cell r="BY3">
            <v>4.0000557723680208</v>
          </cell>
          <cell r="BZ3" t="str">
            <v>Beyl Yann</v>
          </cell>
          <cell r="CA3">
            <v>8.4494084631446526E-5</v>
          </cell>
          <cell r="CB3" t="str">
            <v/>
          </cell>
          <cell r="CC3">
            <v>5.2258627610354824E-6</v>
          </cell>
          <cell r="CD3" t="str">
            <v/>
          </cell>
          <cell r="CE3">
            <v>9.5132909644445431E-6</v>
          </cell>
          <cell r="CF3" t="str">
            <v/>
          </cell>
          <cell r="CG3">
            <v>7.748406268069353E-6</v>
          </cell>
          <cell r="CH3" t="str">
            <v/>
          </cell>
          <cell r="CI3">
            <v>9.1482127142694257E-5</v>
          </cell>
          <cell r="CJ3" t="str">
            <v/>
          </cell>
          <cell r="CK3">
            <v>1.9499022545386559E-5</v>
          </cell>
          <cell r="CL3" t="str">
            <v/>
          </cell>
          <cell r="CM3">
            <v>3.4807962451450792E-7</v>
          </cell>
          <cell r="CN3" t="str">
            <v/>
          </cell>
          <cell r="CO3">
            <v>2</v>
          </cell>
          <cell r="CP3">
            <v>10.009465753122479</v>
          </cell>
          <cell r="CQ3">
            <v>3</v>
          </cell>
          <cell r="CR3">
            <v>3</v>
          </cell>
          <cell r="CS3">
            <v>3</v>
          </cell>
          <cell r="CT3">
            <v>0</v>
          </cell>
          <cell r="CU3">
            <v>3</v>
          </cell>
          <cell r="CV3">
            <v>3</v>
          </cell>
          <cell r="CW3">
            <v>3</v>
          </cell>
          <cell r="CX3">
            <v>0</v>
          </cell>
          <cell r="CY3">
            <v>0</v>
          </cell>
          <cell r="CZ3">
            <v>3</v>
          </cell>
          <cell r="DA3">
            <v>3</v>
          </cell>
          <cell r="DB3">
            <v>3</v>
          </cell>
          <cell r="DC3">
            <v>3</v>
          </cell>
          <cell r="DD3">
            <v>0</v>
          </cell>
          <cell r="DE3">
            <v>22</v>
          </cell>
          <cell r="DF3">
            <v>3</v>
          </cell>
          <cell r="DG3">
            <v>30</v>
          </cell>
          <cell r="DH3">
            <v>0.73334133639074639</v>
          </cell>
          <cell r="DJ3">
            <v>30.517019941328428</v>
          </cell>
          <cell r="DK3" t="str">
            <v>Beyl Yann</v>
          </cell>
        </row>
        <row r="4">
          <cell r="A4" t="str">
            <v>Brient Jean-François</v>
          </cell>
          <cell r="B4">
            <v>1</v>
          </cell>
          <cell r="C4">
            <v>1</v>
          </cell>
          <cell r="D4">
            <v>1</v>
          </cell>
          <cell r="E4">
            <v>1</v>
          </cell>
          <cell r="F4">
            <v>1</v>
          </cell>
          <cell r="G4">
            <v>1</v>
          </cell>
          <cell r="H4">
            <v>1</v>
          </cell>
          <cell r="J4">
            <v>1</v>
          </cell>
          <cell r="K4">
            <v>1</v>
          </cell>
          <cell r="L4">
            <v>1</v>
          </cell>
          <cell r="M4">
            <v>1</v>
          </cell>
          <cell r="N4">
            <v>1</v>
          </cell>
          <cell r="P4">
            <v>1</v>
          </cell>
          <cell r="Q4">
            <v>3</v>
          </cell>
          <cell r="R4">
            <v>3</v>
          </cell>
          <cell r="S4">
            <v>3</v>
          </cell>
          <cell r="T4">
            <v>3</v>
          </cell>
          <cell r="U4">
            <v>3</v>
          </cell>
          <cell r="V4">
            <v>3</v>
          </cell>
          <cell r="X4">
            <v>3</v>
          </cell>
          <cell r="Y4">
            <v>3</v>
          </cell>
          <cell r="Z4">
            <v>3</v>
          </cell>
          <cell r="AA4">
            <v>3</v>
          </cell>
          <cell r="AB4">
            <v>3</v>
          </cell>
          <cell r="AD4">
            <v>3</v>
          </cell>
          <cell r="AE4">
            <v>12</v>
          </cell>
          <cell r="AF4">
            <v>18</v>
          </cell>
          <cell r="AG4">
            <v>18</v>
          </cell>
          <cell r="AH4">
            <v>1.0000042725449085</v>
          </cell>
          <cell r="AI4">
            <v>18</v>
          </cell>
          <cell r="AJ4">
            <v>18</v>
          </cell>
          <cell r="AK4">
            <v>1.0000001421551024</v>
          </cell>
          <cell r="AL4">
            <v>36</v>
          </cell>
          <cell r="AM4">
            <v>36</v>
          </cell>
          <cell r="AN4">
            <v>1.0000050817197765</v>
          </cell>
          <cell r="AO4">
            <v>1.0042400586426152</v>
          </cell>
          <cell r="AP4">
            <v>1.0033517891944421</v>
          </cell>
          <cell r="AQ4">
            <v>1.0054196505119699</v>
          </cell>
          <cell r="AR4">
            <v>1.0050588002936718</v>
          </cell>
          <cell r="AS4">
            <v>1.0039041428952331</v>
          </cell>
          <cell r="AT4">
            <v>1.0094113678570631</v>
          </cell>
          <cell r="AU4" t="str">
            <v>e</v>
          </cell>
          <cell r="AV4">
            <v>1.0000947184510982</v>
          </cell>
          <cell r="AX4" t="str">
            <v>Brient Jean-François</v>
          </cell>
          <cell r="AY4" t="str">
            <v/>
          </cell>
          <cell r="AZ4">
            <v>1</v>
          </cell>
          <cell r="BB4">
            <v>2</v>
          </cell>
          <cell r="BC4" t="str">
            <v>MUZILLAC TT 1</v>
          </cell>
          <cell r="BD4">
            <v>18.000066441992033</v>
          </cell>
          <cell r="BE4">
            <v>7</v>
          </cell>
          <cell r="BF4">
            <v>5</v>
          </cell>
          <cell r="BG4">
            <v>1</v>
          </cell>
          <cell r="BH4">
            <v>1</v>
          </cell>
          <cell r="BI4">
            <v>68</v>
          </cell>
          <cell r="BJ4">
            <v>30</v>
          </cell>
          <cell r="BL4">
            <v>2</v>
          </cell>
          <cell r="BM4" t="str">
            <v>SENE TT 2</v>
          </cell>
          <cell r="BN4">
            <v>16.000041506174821</v>
          </cell>
          <cell r="BO4">
            <v>7</v>
          </cell>
          <cell r="BP4">
            <v>4</v>
          </cell>
          <cell r="BQ4">
            <v>1</v>
          </cell>
          <cell r="BR4">
            <v>2</v>
          </cell>
          <cell r="BS4">
            <v>51</v>
          </cell>
          <cell r="BT4">
            <v>47</v>
          </cell>
          <cell r="BV4" t="str">
            <v>MTT 2:  D1     C</v>
          </cell>
          <cell r="BW4" t="b">
            <v>0</v>
          </cell>
          <cell r="BY4">
            <v>6.0000536730244063</v>
          </cell>
          <cell r="BZ4" t="str">
            <v>Brient Jean-François</v>
          </cell>
          <cell r="CA4">
            <v>2.0872825544270446E-5</v>
          </cell>
          <cell r="CB4" t="str">
            <v/>
          </cell>
          <cell r="CC4">
            <v>7.6355559576916186E-5</v>
          </cell>
          <cell r="CD4" t="str">
            <v/>
          </cell>
          <cell r="CE4">
            <v>9.3745103659494906E-5</v>
          </cell>
          <cell r="CF4" t="str">
            <v/>
          </cell>
          <cell r="CG4">
            <v>2.2208004397038894E-5</v>
          </cell>
          <cell r="CH4" t="str">
            <v/>
          </cell>
          <cell r="CI4">
            <v>6.3413472467983571E-5</v>
          </cell>
          <cell r="CJ4" t="str">
            <v/>
          </cell>
          <cell r="CK4">
            <v>5.9943217528185079E-5</v>
          </cell>
          <cell r="CL4" t="str">
            <v/>
          </cell>
          <cell r="CM4">
            <v>7.5982891375829016E-5</v>
          </cell>
          <cell r="CN4" t="str">
            <v/>
          </cell>
          <cell r="CO4">
            <v>3</v>
          </cell>
          <cell r="CP4">
            <v>12.009450750292437</v>
          </cell>
          <cell r="CQ4">
            <v>3</v>
          </cell>
          <cell r="CR4">
            <v>3</v>
          </cell>
          <cell r="CS4">
            <v>3</v>
          </cell>
          <cell r="CT4">
            <v>3</v>
          </cell>
          <cell r="CU4">
            <v>3</v>
          </cell>
          <cell r="CV4">
            <v>3</v>
          </cell>
          <cell r="CW4">
            <v>0</v>
          </cell>
          <cell r="CX4">
            <v>3</v>
          </cell>
          <cell r="CY4">
            <v>3</v>
          </cell>
          <cell r="CZ4">
            <v>3</v>
          </cell>
          <cell r="DA4">
            <v>3</v>
          </cell>
          <cell r="DB4">
            <v>3</v>
          </cell>
          <cell r="DC4">
            <v>0</v>
          </cell>
          <cell r="DD4">
            <v>3</v>
          </cell>
          <cell r="DE4">
            <v>61</v>
          </cell>
          <cell r="DF4">
            <v>3</v>
          </cell>
          <cell r="DG4">
            <v>68</v>
          </cell>
          <cell r="DH4">
            <v>0.89711551121408861</v>
          </cell>
          <cell r="DJ4">
            <v>68.395345783089383</v>
          </cell>
          <cell r="DK4" t="str">
            <v>Brient Jean-François</v>
          </cell>
        </row>
        <row r="5">
          <cell r="A5" t="str">
            <v>Flégeau Matthieu</v>
          </cell>
          <cell r="B5">
            <v>1</v>
          </cell>
          <cell r="E5">
            <v>1</v>
          </cell>
          <cell r="F5">
            <v>1</v>
          </cell>
          <cell r="G5">
            <v>1</v>
          </cell>
          <cell r="H5">
            <v>1</v>
          </cell>
          <cell r="I5">
            <v>1</v>
          </cell>
          <cell r="J5">
            <v>1</v>
          </cell>
          <cell r="K5">
            <v>1</v>
          </cell>
          <cell r="L5">
            <v>1</v>
          </cell>
          <cell r="P5">
            <v>1</v>
          </cell>
          <cell r="S5">
            <v>3</v>
          </cell>
          <cell r="T5">
            <v>3</v>
          </cell>
          <cell r="U5">
            <v>3</v>
          </cell>
          <cell r="V5">
            <v>2</v>
          </cell>
          <cell r="W5">
            <v>2</v>
          </cell>
          <cell r="X5">
            <v>3</v>
          </cell>
          <cell r="Y5">
            <v>2</v>
          </cell>
          <cell r="Z5">
            <v>2</v>
          </cell>
          <cell r="AD5">
            <v>3</v>
          </cell>
          <cell r="AE5">
            <v>9</v>
          </cell>
          <cell r="AF5">
            <v>13</v>
          </cell>
          <cell r="AG5">
            <v>15</v>
          </cell>
          <cell r="AH5">
            <v>0.86666705134525357</v>
          </cell>
          <cell r="AI5">
            <v>10</v>
          </cell>
          <cell r="AJ5">
            <v>12</v>
          </cell>
          <cell r="AK5">
            <v>0.83333855453672911</v>
          </cell>
          <cell r="AL5">
            <v>23</v>
          </cell>
          <cell r="AM5">
            <v>27</v>
          </cell>
          <cell r="AN5">
            <v>0.85185795645735718</v>
          </cell>
          <cell r="AO5">
            <v>1.0082851143852254</v>
          </cell>
          <cell r="AP5">
            <v>1.0070758486651774</v>
          </cell>
          <cell r="AQ5">
            <v>1.0045439158524421</v>
          </cell>
          <cell r="AR5">
            <v>1.0084668950988871</v>
          </cell>
          <cell r="AS5" t="str">
            <v>e</v>
          </cell>
          <cell r="AT5" t="str">
            <v>e</v>
          </cell>
          <cell r="AU5" t="str">
            <v>e</v>
          </cell>
          <cell r="AV5">
            <v>1.007105549523055</v>
          </cell>
          <cell r="AX5" t="str">
            <v>Flégeau Matthieu</v>
          </cell>
          <cell r="AY5" t="str">
            <v/>
          </cell>
          <cell r="AZ5">
            <v>1</v>
          </cell>
          <cell r="BB5">
            <v>3</v>
          </cell>
          <cell r="BC5" t="str">
            <v>RENNES TA 3</v>
          </cell>
          <cell r="BD5">
            <v>16.00001179485697</v>
          </cell>
          <cell r="BE5">
            <v>7</v>
          </cell>
          <cell r="BF5">
            <v>3</v>
          </cell>
          <cell r="BG5">
            <v>3</v>
          </cell>
          <cell r="BH5">
            <v>1</v>
          </cell>
          <cell r="BI5">
            <v>49</v>
          </cell>
          <cell r="BJ5">
            <v>49</v>
          </cell>
          <cell r="BL5">
            <v>3</v>
          </cell>
          <cell r="BM5" t="str">
            <v>L. PLOERMEL 3</v>
          </cell>
          <cell r="BN5">
            <v>14.000024485938715</v>
          </cell>
          <cell r="BO5">
            <v>7</v>
          </cell>
          <cell r="BP5">
            <v>3</v>
          </cell>
          <cell r="BQ5">
            <v>1</v>
          </cell>
          <cell r="BR5">
            <v>3</v>
          </cell>
          <cell r="BS5">
            <v>51</v>
          </cell>
          <cell r="BT5">
            <v>47</v>
          </cell>
          <cell r="BV5" t="str">
            <v>MTT 3:  D2     E</v>
          </cell>
          <cell r="BW5" t="b">
            <v>0</v>
          </cell>
          <cell r="BY5">
            <v>4.0000594737995803</v>
          </cell>
          <cell r="BZ5" t="str">
            <v>Flégeau Matthieu</v>
          </cell>
          <cell r="CA5">
            <v>8.9067468151904358E-6</v>
          </cell>
          <cell r="CB5" t="str">
            <v/>
          </cell>
          <cell r="CC5">
            <v>3.746114742981779E-5</v>
          </cell>
          <cell r="CD5" t="str">
            <v/>
          </cell>
          <cell r="CE5">
            <v>7.4486739005048458E-5</v>
          </cell>
          <cell r="CF5" t="str">
            <v/>
          </cell>
          <cell r="CG5">
            <v>9.3148245362817137E-5</v>
          </cell>
          <cell r="CH5" t="str">
            <v/>
          </cell>
          <cell r="CI5">
            <v>9.9515167712031171E-6</v>
          </cell>
          <cell r="CJ5" t="str">
            <v/>
          </cell>
          <cell r="CK5">
            <v>3.3733356176743512E-5</v>
          </cell>
          <cell r="CL5" t="str">
            <v/>
          </cell>
          <cell r="CM5">
            <v>4.5810286083412477E-5</v>
          </cell>
          <cell r="CN5" t="str">
            <v/>
          </cell>
          <cell r="CO5">
            <v>4</v>
          </cell>
          <cell r="CP5">
            <v>9.0095446346952635</v>
          </cell>
          <cell r="CQ5">
            <v>0</v>
          </cell>
          <cell r="CR5">
            <v>0</v>
          </cell>
          <cell r="CS5">
            <v>3</v>
          </cell>
          <cell r="CT5">
            <v>3</v>
          </cell>
          <cell r="CU5">
            <v>3</v>
          </cell>
          <cell r="CV5">
            <v>3</v>
          </cell>
          <cell r="CW5">
            <v>3</v>
          </cell>
          <cell r="CX5">
            <v>3</v>
          </cell>
          <cell r="CY5">
            <v>3</v>
          </cell>
          <cell r="CZ5">
            <v>3</v>
          </cell>
          <cell r="DA5">
            <v>0</v>
          </cell>
          <cell r="DB5">
            <v>0</v>
          </cell>
          <cell r="DC5">
            <v>0</v>
          </cell>
          <cell r="DD5">
            <v>3</v>
          </cell>
          <cell r="DE5">
            <v>40</v>
          </cell>
          <cell r="DF5">
            <v>3</v>
          </cell>
          <cell r="DG5">
            <v>51</v>
          </cell>
          <cell r="DH5">
            <v>0.78434671616931706</v>
          </cell>
          <cell r="DJ5">
            <v>51.743194065156047</v>
          </cell>
          <cell r="DK5" t="str">
            <v>Flégeau Matthieu</v>
          </cell>
        </row>
        <row r="6">
          <cell r="A6" t="str">
            <v>Morin Quentin</v>
          </cell>
          <cell r="B6">
            <v>2</v>
          </cell>
          <cell r="C6">
            <v>3</v>
          </cell>
          <cell r="D6">
            <v>3</v>
          </cell>
          <cell r="E6">
            <v>3</v>
          </cell>
          <cell r="F6">
            <v>3</v>
          </cell>
          <cell r="G6">
            <v>3</v>
          </cell>
          <cell r="H6">
            <v>3</v>
          </cell>
          <cell r="I6">
            <v>3</v>
          </cell>
          <cell r="J6">
            <v>2</v>
          </cell>
          <cell r="K6">
            <v>4</v>
          </cell>
          <cell r="L6">
            <v>2</v>
          </cell>
          <cell r="M6">
            <v>2</v>
          </cell>
          <cell r="N6">
            <v>2</v>
          </cell>
          <cell r="O6">
            <v>2</v>
          </cell>
          <cell r="P6">
            <v>1</v>
          </cell>
          <cell r="Q6">
            <v>3</v>
          </cell>
          <cell r="R6">
            <v>3</v>
          </cell>
          <cell r="S6">
            <v>1</v>
          </cell>
          <cell r="T6">
            <v>1</v>
          </cell>
          <cell r="U6">
            <v>1</v>
          </cell>
          <cell r="V6">
            <v>2</v>
          </cell>
          <cell r="W6">
            <v>2</v>
          </cell>
          <cell r="X6">
            <v>1</v>
          </cell>
          <cell r="Y6">
            <v>2</v>
          </cell>
          <cell r="Z6">
            <v>1</v>
          </cell>
          <cell r="AA6">
            <v>0</v>
          </cell>
          <cell r="AB6">
            <v>2</v>
          </cell>
          <cell r="AC6">
            <v>2</v>
          </cell>
          <cell r="AD6">
            <v>0</v>
          </cell>
          <cell r="AE6">
            <v>14</v>
          </cell>
          <cell r="AF6">
            <v>13</v>
          </cell>
          <cell r="AG6">
            <v>21</v>
          </cell>
          <cell r="AH6">
            <v>0.61905428474101476</v>
          </cell>
          <cell r="AI6">
            <v>8</v>
          </cell>
          <cell r="AJ6">
            <v>21</v>
          </cell>
          <cell r="AK6">
            <v>0.38095334736988573</v>
          </cell>
          <cell r="AL6">
            <v>21</v>
          </cell>
          <cell r="AM6">
            <v>42</v>
          </cell>
          <cell r="AN6">
            <v>0.50000272460491668</v>
          </cell>
          <cell r="AO6">
            <v>2.0035207232363583</v>
          </cell>
          <cell r="AP6">
            <v>2.008830182254945</v>
          </cell>
          <cell r="AQ6">
            <v>4.0029183417101173</v>
          </cell>
          <cell r="AR6">
            <v>2.0058684364661397</v>
          </cell>
          <cell r="AS6">
            <v>2.0058281958687894</v>
          </cell>
          <cell r="AT6">
            <v>2.0080293070585835</v>
          </cell>
          <cell r="AU6">
            <v>2.0061137753308445</v>
          </cell>
          <cell r="AV6">
            <v>1.0099938864381819</v>
          </cell>
          <cell r="AX6" t="str">
            <v>Morin Quentin</v>
          </cell>
          <cell r="AY6" t="str">
            <v/>
          </cell>
          <cell r="AZ6">
            <v>2</v>
          </cell>
          <cell r="BB6">
            <v>4</v>
          </cell>
          <cell r="BC6" t="str">
            <v>LE FOLGOET/LESNEVEN 1</v>
          </cell>
          <cell r="BD6">
            <v>15.000012378984755</v>
          </cell>
          <cell r="BE6">
            <v>7</v>
          </cell>
          <cell r="BF6">
            <v>4</v>
          </cell>
          <cell r="BG6">
            <v>0</v>
          </cell>
          <cell r="BH6">
            <v>3</v>
          </cell>
          <cell r="BI6">
            <v>45</v>
          </cell>
          <cell r="BJ6">
            <v>53</v>
          </cell>
          <cell r="BL6">
            <v>4</v>
          </cell>
          <cell r="BM6" t="str">
            <v>AJK VANNES 4</v>
          </cell>
          <cell r="BN6">
            <v>13.000069737162175</v>
          </cell>
          <cell r="BO6">
            <v>7</v>
          </cell>
          <cell r="BP6">
            <v>3</v>
          </cell>
          <cell r="BQ6">
            <v>0</v>
          </cell>
          <cell r="BR6">
            <v>4</v>
          </cell>
          <cell r="BS6">
            <v>49</v>
          </cell>
          <cell r="BT6">
            <v>49</v>
          </cell>
          <cell r="BV6" t="str">
            <v>MTT 4:  D2     D</v>
          </cell>
          <cell r="BW6" t="b">
            <v>0</v>
          </cell>
          <cell r="BY6">
            <v>1.0000666987351148</v>
          </cell>
          <cell r="BZ6" t="str">
            <v>Morin Quentin</v>
          </cell>
          <cell r="CA6">
            <v>5.0000667411696851</v>
          </cell>
          <cell r="CB6" t="str">
            <v>Morin Quentin</v>
          </cell>
          <cell r="CC6">
            <v>9.3927816753933814E-6</v>
          </cell>
          <cell r="CD6" t="str">
            <v/>
          </cell>
          <cell r="CE6">
            <v>1.0000926701469499</v>
          </cell>
          <cell r="CF6" t="str">
            <v>Morin Quentin</v>
          </cell>
          <cell r="CG6">
            <v>6.1355493567157308E-6</v>
          </cell>
          <cell r="CH6" t="str">
            <v/>
          </cell>
          <cell r="CI6">
            <v>2.4792584849433188E-5</v>
          </cell>
          <cell r="CJ6" t="str">
            <v/>
          </cell>
          <cell r="CK6">
            <v>4.0345882303179648E-5</v>
          </cell>
          <cell r="CL6" t="str">
            <v/>
          </cell>
          <cell r="CM6">
            <v>5.3734737404141774E-5</v>
          </cell>
          <cell r="CN6" t="str">
            <v/>
          </cell>
          <cell r="CO6">
            <v>5</v>
          </cell>
          <cell r="CP6">
            <v>14.000076357390874</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55</v>
          </cell>
          <cell r="DF6">
            <v>3</v>
          </cell>
          <cell r="DG6">
            <v>94</v>
          </cell>
          <cell r="DH6">
            <v>0.58512062637399143</v>
          </cell>
          <cell r="DJ6">
            <v>94.252911860063932</v>
          </cell>
          <cell r="DK6" t="str">
            <v>Morin Quentin</v>
          </cell>
        </row>
        <row r="7">
          <cell r="A7" t="str">
            <v>Nicolas Jérémy</v>
          </cell>
          <cell r="B7">
            <v>2</v>
          </cell>
          <cell r="C7">
            <v>3</v>
          </cell>
          <cell r="D7">
            <v>3</v>
          </cell>
          <cell r="E7">
            <v>3</v>
          </cell>
          <cell r="F7">
            <v>3</v>
          </cell>
          <cell r="G7">
            <v>3</v>
          </cell>
          <cell r="H7">
            <v>3</v>
          </cell>
          <cell r="I7">
            <v>3</v>
          </cell>
          <cell r="J7">
            <v>1</v>
          </cell>
          <cell r="K7">
            <v>2</v>
          </cell>
          <cell r="L7">
            <v>2</v>
          </cell>
          <cell r="M7">
            <v>1</v>
          </cell>
          <cell r="N7">
            <v>1</v>
          </cell>
          <cell r="O7">
            <v>1</v>
          </cell>
          <cell r="P7">
            <v>1</v>
          </cell>
          <cell r="Q7">
            <v>3</v>
          </cell>
          <cell r="R7">
            <v>3</v>
          </cell>
          <cell r="S7">
            <v>3</v>
          </cell>
          <cell r="T7">
            <v>3</v>
          </cell>
          <cell r="U7">
            <v>3</v>
          </cell>
          <cell r="V7">
            <v>3</v>
          </cell>
          <cell r="W7">
            <v>3</v>
          </cell>
          <cell r="X7">
            <v>3</v>
          </cell>
          <cell r="Y7">
            <v>2</v>
          </cell>
          <cell r="Z7">
            <v>3</v>
          </cell>
          <cell r="AA7">
            <v>0</v>
          </cell>
          <cell r="AB7">
            <v>0</v>
          </cell>
          <cell r="AC7">
            <v>3</v>
          </cell>
          <cell r="AD7">
            <v>3</v>
          </cell>
          <cell r="AE7">
            <v>14</v>
          </cell>
          <cell r="AF7">
            <v>21</v>
          </cell>
          <cell r="AG7">
            <v>21</v>
          </cell>
          <cell r="AH7">
            <v>1.0000022924731633</v>
          </cell>
          <cell r="AI7">
            <v>14</v>
          </cell>
          <cell r="AJ7">
            <v>21</v>
          </cell>
          <cell r="AK7">
            <v>0.66667218831377451</v>
          </cell>
          <cell r="AL7">
            <v>35</v>
          </cell>
          <cell r="AM7">
            <v>42</v>
          </cell>
          <cell r="AN7">
            <v>0.8333358536055181</v>
          </cell>
          <cell r="AO7">
            <v>2.0050127745767381</v>
          </cell>
          <cell r="AP7">
            <v>1.0003008730201783</v>
          </cell>
          <cell r="AQ7">
            <v>2.0000022083368463</v>
          </cell>
          <cell r="AR7">
            <v>2.007835731352138</v>
          </cell>
          <cell r="AS7">
            <v>1.0094782161320102</v>
          </cell>
          <cell r="AT7">
            <v>1.0061531004344026</v>
          </cell>
          <cell r="AU7">
            <v>1.0040985980405934</v>
          </cell>
          <cell r="AV7">
            <v>1.0074063116659266</v>
          </cell>
          <cell r="AX7" t="str">
            <v>Nicolas Jérémy</v>
          </cell>
          <cell r="AY7" t="str">
            <v/>
          </cell>
          <cell r="AZ7">
            <v>1</v>
          </cell>
          <cell r="BB7">
            <v>5</v>
          </cell>
          <cell r="BC7" t="str">
            <v>RP FOUESNANT 5</v>
          </cell>
          <cell r="BD7">
            <v>11.000051023503774</v>
          </cell>
          <cell r="BE7">
            <v>7</v>
          </cell>
          <cell r="BF7">
            <v>2</v>
          </cell>
          <cell r="BG7">
            <v>0</v>
          </cell>
          <cell r="BH7">
            <v>5</v>
          </cell>
          <cell r="BI7">
            <v>43</v>
          </cell>
          <cell r="BJ7">
            <v>55</v>
          </cell>
          <cell r="BL7" t="str">
            <v>-</v>
          </cell>
          <cell r="BM7" t="str">
            <v>US ST-ABRAHAM 1</v>
          </cell>
          <cell r="BN7">
            <v>13.000042356690571</v>
          </cell>
          <cell r="BO7">
            <v>7</v>
          </cell>
          <cell r="BP7">
            <v>2</v>
          </cell>
          <cell r="BQ7">
            <v>2</v>
          </cell>
          <cell r="BR7">
            <v>3</v>
          </cell>
          <cell r="BS7">
            <v>43</v>
          </cell>
          <cell r="BT7">
            <v>55</v>
          </cell>
          <cell r="BV7" t="str">
            <v>MTT 5:  D3    E</v>
          </cell>
          <cell r="BW7" t="b">
            <v>0</v>
          </cell>
          <cell r="BY7">
            <v>5.0000883362994619</v>
          </cell>
          <cell r="BZ7" t="str">
            <v>Nicolas Jérémy</v>
          </cell>
          <cell r="CA7">
            <v>2.0000414617099556</v>
          </cell>
          <cell r="CB7" t="str">
            <v>Nicolas Jérémy</v>
          </cell>
          <cell r="CC7">
            <v>4.8296244756950824E-5</v>
          </cell>
          <cell r="CD7" t="str">
            <v/>
          </cell>
          <cell r="CE7">
            <v>2.3395156607154601E-5</v>
          </cell>
          <cell r="CF7" t="str">
            <v/>
          </cell>
          <cell r="CG7">
            <v>9.8335564061906422E-5</v>
          </cell>
          <cell r="CH7" t="str">
            <v/>
          </cell>
          <cell r="CI7">
            <v>1.38683794624614E-5</v>
          </cell>
          <cell r="CJ7" t="str">
            <v/>
          </cell>
          <cell r="CK7">
            <v>3.8894721045960688E-5</v>
          </cell>
          <cell r="CL7" t="str">
            <v/>
          </cell>
          <cell r="CM7">
            <v>4.9742840802231339E-5</v>
          </cell>
          <cell r="CN7" t="str">
            <v/>
          </cell>
          <cell r="CO7">
            <v>6</v>
          </cell>
          <cell r="CP7">
            <v>14.001941742638492</v>
          </cell>
          <cell r="CQ7">
            <v>3</v>
          </cell>
          <cell r="CR7">
            <v>3</v>
          </cell>
          <cell r="CS7">
            <v>3</v>
          </cell>
          <cell r="CT7">
            <v>3</v>
          </cell>
          <cell r="CU7">
            <v>3</v>
          </cell>
          <cell r="CV7">
            <v>3</v>
          </cell>
          <cell r="CW7">
            <v>3</v>
          </cell>
          <cell r="CX7">
            <v>3</v>
          </cell>
          <cell r="CY7">
            <v>3</v>
          </cell>
          <cell r="CZ7">
            <v>3</v>
          </cell>
          <cell r="DA7">
            <v>3</v>
          </cell>
          <cell r="DB7">
            <v>3</v>
          </cell>
          <cell r="DC7">
            <v>3</v>
          </cell>
          <cell r="DD7">
            <v>3</v>
          </cell>
          <cell r="DE7">
            <v>35</v>
          </cell>
          <cell r="DF7">
            <v>3</v>
          </cell>
          <cell r="DG7">
            <v>42</v>
          </cell>
          <cell r="DH7">
            <v>0.8334252554246061</v>
          </cell>
          <cell r="DJ7">
            <v>42.67420572057955</v>
          </cell>
          <cell r="DK7" t="str">
            <v>Nicolas Jérémy</v>
          </cell>
        </row>
        <row r="8">
          <cell r="A8" t="str">
            <v>Roszak Martin</v>
          </cell>
          <cell r="B8">
            <v>2</v>
          </cell>
          <cell r="C8">
            <v>3</v>
          </cell>
          <cell r="D8">
            <v>3</v>
          </cell>
          <cell r="F8">
            <v>3</v>
          </cell>
          <cell r="G8">
            <v>3</v>
          </cell>
          <cell r="H8">
            <v>3</v>
          </cell>
          <cell r="I8">
            <v>3</v>
          </cell>
          <cell r="J8">
            <v>2</v>
          </cell>
          <cell r="K8">
            <v>2</v>
          </cell>
          <cell r="L8">
            <v>2</v>
          </cell>
          <cell r="M8">
            <v>2</v>
          </cell>
          <cell r="N8">
            <v>2</v>
          </cell>
          <cell r="O8">
            <v>2</v>
          </cell>
          <cell r="P8">
            <v>2</v>
          </cell>
          <cell r="Q8">
            <v>3</v>
          </cell>
          <cell r="R8">
            <v>3</v>
          </cell>
          <cell r="T8">
            <v>3</v>
          </cell>
          <cell r="U8">
            <v>1</v>
          </cell>
          <cell r="V8">
            <v>3</v>
          </cell>
          <cell r="W8">
            <v>3</v>
          </cell>
          <cell r="X8">
            <v>2</v>
          </cell>
          <cell r="Y8">
            <v>2</v>
          </cell>
          <cell r="Z8">
            <v>2</v>
          </cell>
          <cell r="AA8">
            <v>0</v>
          </cell>
          <cell r="AB8">
            <v>1</v>
          </cell>
          <cell r="AC8">
            <v>1</v>
          </cell>
          <cell r="AD8">
            <v>1</v>
          </cell>
          <cell r="AE8">
            <v>13</v>
          </cell>
          <cell r="AF8">
            <v>16</v>
          </cell>
          <cell r="AG8">
            <v>18</v>
          </cell>
          <cell r="AH8">
            <v>0.88889435074027856</v>
          </cell>
          <cell r="AI8">
            <v>9</v>
          </cell>
          <cell r="AJ8">
            <v>21</v>
          </cell>
          <cell r="AK8">
            <v>0.42857415715658065</v>
          </cell>
          <cell r="AL8">
            <v>25</v>
          </cell>
          <cell r="AM8">
            <v>39</v>
          </cell>
          <cell r="AN8">
            <v>0.64103339353664401</v>
          </cell>
          <cell r="AO8">
            <v>2.0075795841363209</v>
          </cell>
          <cell r="AP8">
            <v>2.0018647471305613</v>
          </cell>
          <cell r="AQ8">
            <v>2.0087259951123984</v>
          </cell>
          <cell r="AR8">
            <v>2.0010114389508455</v>
          </cell>
          <cell r="AS8">
            <v>2.0033814576768334</v>
          </cell>
          <cell r="AT8">
            <v>2.009176171222093</v>
          </cell>
          <cell r="AU8">
            <v>2.0063437399731621</v>
          </cell>
          <cell r="AV8">
            <v>2.0043373630442454</v>
          </cell>
          <cell r="AX8" t="str">
            <v>Roszak Martin</v>
          </cell>
          <cell r="AY8" t="str">
            <v/>
          </cell>
          <cell r="AZ8">
            <v>2</v>
          </cell>
          <cell r="BB8" t="str">
            <v>-</v>
          </cell>
          <cell r="BC8" t="str">
            <v>RENNES AVENIR 4</v>
          </cell>
          <cell r="BD8">
            <v>11.00003133503364</v>
          </cell>
          <cell r="BE8">
            <v>7</v>
          </cell>
          <cell r="BF8">
            <v>1</v>
          </cell>
          <cell r="BG8">
            <v>2</v>
          </cell>
          <cell r="BH8">
            <v>4</v>
          </cell>
          <cell r="BI8">
            <v>39</v>
          </cell>
          <cell r="BJ8">
            <v>59</v>
          </cell>
          <cell r="BL8" t="str">
            <v>-</v>
          </cell>
          <cell r="BM8" t="str">
            <v>CTT MENIMUR 2</v>
          </cell>
          <cell r="BN8">
            <v>13.000019036879552</v>
          </cell>
          <cell r="BO8">
            <v>7</v>
          </cell>
          <cell r="BP8">
            <v>2</v>
          </cell>
          <cell r="BQ8">
            <v>2</v>
          </cell>
          <cell r="BR8">
            <v>3</v>
          </cell>
          <cell r="BS8">
            <v>47</v>
          </cell>
          <cell r="BT8">
            <v>51</v>
          </cell>
          <cell r="BV8" t="str">
            <v>MTT 6:  D3    G</v>
          </cell>
          <cell r="BW8" t="b">
            <v>0</v>
          </cell>
          <cell r="BY8">
            <v>5.4354588734136158E-5</v>
          </cell>
          <cell r="BZ8" t="str">
            <v/>
          </cell>
          <cell r="CA8">
            <v>7.000032873209534</v>
          </cell>
          <cell r="CB8" t="str">
            <v>Roszak Martin</v>
          </cell>
          <cell r="CC8">
            <v>7.7627790774654749E-5</v>
          </cell>
          <cell r="CD8" t="str">
            <v/>
          </cell>
          <cell r="CE8">
            <v>8.1816154822711784E-5</v>
          </cell>
          <cell r="CF8" t="str">
            <v/>
          </cell>
          <cell r="CG8">
            <v>1.9366333019638261E-5</v>
          </cell>
          <cell r="CH8" t="str">
            <v/>
          </cell>
          <cell r="CI8">
            <v>8.5276748928877087E-5</v>
          </cell>
          <cell r="CJ8" t="str">
            <v/>
          </cell>
          <cell r="CK8">
            <v>4.0271161141246086E-5</v>
          </cell>
          <cell r="CL8" t="str">
            <v/>
          </cell>
          <cell r="CM8">
            <v>5.7420575918973172E-5</v>
          </cell>
          <cell r="CN8" t="str">
            <v/>
          </cell>
          <cell r="CO8">
            <v>7</v>
          </cell>
          <cell r="CP8">
            <v>13.00901836232566</v>
          </cell>
          <cell r="CQ8">
            <v>3</v>
          </cell>
          <cell r="CR8">
            <v>3</v>
          </cell>
          <cell r="CS8">
            <v>0</v>
          </cell>
          <cell r="CT8">
            <v>3</v>
          </cell>
          <cell r="CU8">
            <v>3</v>
          </cell>
          <cell r="CV8">
            <v>3</v>
          </cell>
          <cell r="CW8">
            <v>3</v>
          </cell>
          <cell r="CX8">
            <v>3</v>
          </cell>
          <cell r="CY8">
            <v>3</v>
          </cell>
          <cell r="CZ8">
            <v>3</v>
          </cell>
          <cell r="DA8">
            <v>3</v>
          </cell>
          <cell r="DB8">
            <v>3</v>
          </cell>
          <cell r="DC8">
            <v>3</v>
          </cell>
          <cell r="DD8">
            <v>3</v>
          </cell>
          <cell r="DE8">
            <v>26</v>
          </cell>
          <cell r="DF8">
            <v>3</v>
          </cell>
          <cell r="DG8">
            <v>46</v>
          </cell>
          <cell r="DH8">
            <v>0.56528666619658685</v>
          </cell>
          <cell r="DJ8">
            <v>46.112326512901774</v>
          </cell>
          <cell r="DK8" t="str">
            <v>Roszak Martin</v>
          </cell>
        </row>
        <row r="9">
          <cell r="A9" t="str">
            <v>Roszak Clément</v>
          </cell>
          <cell r="B9">
            <v>2</v>
          </cell>
          <cell r="C9">
            <v>1</v>
          </cell>
          <cell r="D9">
            <v>3</v>
          </cell>
          <cell r="E9">
            <v>3</v>
          </cell>
          <cell r="G9">
            <v>3</v>
          </cell>
          <cell r="I9">
            <v>1</v>
          </cell>
          <cell r="J9">
            <v>2</v>
          </cell>
          <cell r="K9">
            <v>2</v>
          </cell>
          <cell r="M9">
            <v>2</v>
          </cell>
          <cell r="N9">
            <v>2</v>
          </cell>
          <cell r="O9">
            <v>1</v>
          </cell>
          <cell r="P9">
            <v>2</v>
          </cell>
          <cell r="Q9">
            <v>3</v>
          </cell>
          <cell r="R9">
            <v>3</v>
          </cell>
          <cell r="S9">
            <v>2</v>
          </cell>
          <cell r="U9">
            <v>2</v>
          </cell>
          <cell r="W9">
            <v>1</v>
          </cell>
          <cell r="X9">
            <v>3</v>
          </cell>
          <cell r="Y9">
            <v>3</v>
          </cell>
          <cell r="AA9">
            <v>3</v>
          </cell>
          <cell r="AB9">
            <v>3</v>
          </cell>
          <cell r="AC9">
            <v>2</v>
          </cell>
          <cell r="AD9">
            <v>3</v>
          </cell>
          <cell r="AE9">
            <v>11</v>
          </cell>
          <cell r="AF9">
            <v>11</v>
          </cell>
          <cell r="AG9">
            <v>15</v>
          </cell>
          <cell r="AH9">
            <v>0.73333652511138525</v>
          </cell>
          <cell r="AI9">
            <v>17</v>
          </cell>
          <cell r="AJ9">
            <v>18</v>
          </cell>
          <cell r="AK9">
            <v>0.94445173013348094</v>
          </cell>
          <cell r="AL9">
            <v>28</v>
          </cell>
          <cell r="AM9">
            <v>33</v>
          </cell>
          <cell r="AN9">
            <v>0.8484914263848724</v>
          </cell>
          <cell r="AO9">
            <v>2.0032886465645565</v>
          </cell>
          <cell r="AP9">
            <v>2.0046644199163728</v>
          </cell>
          <cell r="AQ9">
            <v>2.0029504226234507</v>
          </cell>
          <cell r="AR9" t="str">
            <v>e</v>
          </cell>
          <cell r="AS9">
            <v>2.0085001804048881</v>
          </cell>
          <cell r="AT9">
            <v>2.003992379576105</v>
          </cell>
          <cell r="AU9">
            <v>1.0049803699116118</v>
          </cell>
          <cell r="AV9">
            <v>2.0003455639297694</v>
          </cell>
          <cell r="AX9" t="str">
            <v>Roszak Clément</v>
          </cell>
          <cell r="AY9" t="str">
            <v/>
          </cell>
          <cell r="AZ9">
            <v>2</v>
          </cell>
          <cell r="BB9" t="str">
            <v>-</v>
          </cell>
          <cell r="BC9" t="str">
            <v>TT LA BAIE YFFINIAC 1</v>
          </cell>
          <cell r="BD9">
            <v>11.000003530640576</v>
          </cell>
          <cell r="BE9">
            <v>7</v>
          </cell>
          <cell r="BF9">
            <v>1</v>
          </cell>
          <cell r="BG9">
            <v>2</v>
          </cell>
          <cell r="BH9">
            <v>4</v>
          </cell>
          <cell r="BI9">
            <v>37</v>
          </cell>
          <cell r="BJ9">
            <v>61</v>
          </cell>
          <cell r="BL9">
            <v>7</v>
          </cell>
          <cell r="BM9" t="str">
            <v>PLUNERET/MERIAD 1</v>
          </cell>
          <cell r="BN9">
            <v>12.000071703128762</v>
          </cell>
          <cell r="BO9">
            <v>7</v>
          </cell>
          <cell r="BP9">
            <v>2</v>
          </cell>
          <cell r="BQ9">
            <v>1</v>
          </cell>
          <cell r="BR9">
            <v>4</v>
          </cell>
          <cell r="BS9">
            <v>40</v>
          </cell>
          <cell r="BT9">
            <v>58</v>
          </cell>
          <cell r="BV9" t="str">
            <v>MTT 7:  D3    F</v>
          </cell>
          <cell r="BW9" t="b">
            <v>0</v>
          </cell>
          <cell r="BY9">
            <v>1.0000688462527214</v>
          </cell>
          <cell r="BZ9" t="str">
            <v>Roszak Clément</v>
          </cell>
          <cell r="CA9">
            <v>5.0000146561220804</v>
          </cell>
          <cell r="CB9" t="str">
            <v>Roszak Clément</v>
          </cell>
          <cell r="CC9">
            <v>5.3133852611735311E-5</v>
          </cell>
          <cell r="CD9" t="str">
            <v/>
          </cell>
          <cell r="CE9">
            <v>8.1417368234612981E-6</v>
          </cell>
          <cell r="CF9" t="str">
            <v/>
          </cell>
          <cell r="CG9">
            <v>9.6160573596492936E-5</v>
          </cell>
          <cell r="CH9" t="str">
            <v/>
          </cell>
          <cell r="CI9">
            <v>2.2562740237773949E-5</v>
          </cell>
          <cell r="CJ9" t="str">
            <v/>
          </cell>
          <cell r="CK9">
            <v>3.2305803402475545E-5</v>
          </cell>
          <cell r="CL9" t="str">
            <v/>
          </cell>
          <cell r="CM9">
            <v>1.51341607105843E-5</v>
          </cell>
          <cell r="CN9" t="str">
            <v/>
          </cell>
          <cell r="CO9">
            <v>8</v>
          </cell>
          <cell r="CP9">
            <v>11.00407023960474</v>
          </cell>
          <cell r="CQ9">
            <v>3</v>
          </cell>
          <cell r="CR9">
            <v>3</v>
          </cell>
          <cell r="CS9">
            <v>3</v>
          </cell>
          <cell r="CT9">
            <v>0</v>
          </cell>
          <cell r="CU9">
            <v>3</v>
          </cell>
          <cell r="CV9">
            <v>0</v>
          </cell>
          <cell r="CW9">
            <v>3</v>
          </cell>
          <cell r="CX9">
            <v>3</v>
          </cell>
          <cell r="CY9">
            <v>3</v>
          </cell>
          <cell r="CZ9">
            <v>0</v>
          </cell>
          <cell r="DA9">
            <v>3</v>
          </cell>
          <cell r="DB9">
            <v>3</v>
          </cell>
          <cell r="DC9">
            <v>3</v>
          </cell>
          <cell r="DD9">
            <v>3</v>
          </cell>
          <cell r="DE9">
            <v>28</v>
          </cell>
          <cell r="DF9">
            <v>3</v>
          </cell>
          <cell r="DG9">
            <v>35</v>
          </cell>
          <cell r="DH9">
            <v>0.80002519170449704</v>
          </cell>
          <cell r="DJ9">
            <v>35.261217786014264</v>
          </cell>
          <cell r="DK9" t="str">
            <v>Roszak Clément</v>
          </cell>
        </row>
        <row r="10">
          <cell r="A10" t="str">
            <v>Le Garnec Sacha</v>
          </cell>
          <cell r="B10">
            <v>3</v>
          </cell>
          <cell r="C10">
            <v>2</v>
          </cell>
          <cell r="D10">
            <v>2</v>
          </cell>
          <cell r="E10">
            <v>2</v>
          </cell>
          <cell r="F10">
            <v>2</v>
          </cell>
          <cell r="G10">
            <v>2</v>
          </cell>
          <cell r="H10">
            <v>2</v>
          </cell>
          <cell r="I10">
            <v>2</v>
          </cell>
          <cell r="J10">
            <v>3</v>
          </cell>
          <cell r="K10">
            <v>3</v>
          </cell>
          <cell r="L10">
            <v>3</v>
          </cell>
          <cell r="M10">
            <v>3</v>
          </cell>
          <cell r="O10">
            <v>3</v>
          </cell>
          <cell r="P10">
            <v>3</v>
          </cell>
          <cell r="Q10">
            <v>2</v>
          </cell>
          <cell r="R10">
            <v>2</v>
          </cell>
          <cell r="S10">
            <v>0</v>
          </cell>
          <cell r="T10">
            <v>2</v>
          </cell>
          <cell r="U10">
            <v>3</v>
          </cell>
          <cell r="V10">
            <v>2</v>
          </cell>
          <cell r="W10">
            <v>1</v>
          </cell>
          <cell r="X10">
            <v>2</v>
          </cell>
          <cell r="Y10">
            <v>2</v>
          </cell>
          <cell r="Z10">
            <v>2</v>
          </cell>
          <cell r="AA10">
            <v>1</v>
          </cell>
          <cell r="AC10">
            <v>3</v>
          </cell>
          <cell r="AD10">
            <v>1</v>
          </cell>
          <cell r="AE10">
            <v>13</v>
          </cell>
          <cell r="AF10">
            <v>12</v>
          </cell>
          <cell r="AG10">
            <v>21</v>
          </cell>
          <cell r="AH10">
            <v>0.57143132880455016</v>
          </cell>
          <cell r="AI10">
            <v>11</v>
          </cell>
          <cell r="AJ10">
            <v>18</v>
          </cell>
          <cell r="AK10">
            <v>0.6111161185318299</v>
          </cell>
          <cell r="AL10">
            <v>23</v>
          </cell>
          <cell r="AM10">
            <v>39</v>
          </cell>
          <cell r="AN10">
            <v>0.58975118181701125</v>
          </cell>
          <cell r="AO10">
            <v>3.005217071862853</v>
          </cell>
          <cell r="AP10">
            <v>3.0007649351738568</v>
          </cell>
          <cell r="AQ10">
            <v>3.0026438563310145</v>
          </cell>
          <cell r="AR10">
            <v>3.007611943420847</v>
          </cell>
          <cell r="AS10">
            <v>3.0031502592836596</v>
          </cell>
          <cell r="AT10" t="str">
            <v>e</v>
          </cell>
          <cell r="AU10">
            <v>3.002141994814775</v>
          </cell>
          <cell r="AV10">
            <v>3.0029487996504698</v>
          </cell>
          <cell r="AX10" t="str">
            <v>Le Garnec Sacha</v>
          </cell>
          <cell r="AY10" t="str">
            <v/>
          </cell>
          <cell r="AZ10">
            <v>3</v>
          </cell>
          <cell r="BB10">
            <v>7</v>
          </cell>
          <cell r="BC10" t="str">
            <v>CPB RENNES RAPATEL 2</v>
          </cell>
          <cell r="BD10">
            <v>9.0000330260242425</v>
          </cell>
          <cell r="BE10">
            <v>7</v>
          </cell>
          <cell r="BF10">
            <v>0</v>
          </cell>
          <cell r="BG10">
            <v>2</v>
          </cell>
          <cell r="BH10">
            <v>5</v>
          </cell>
          <cell r="BI10">
            <v>34</v>
          </cell>
          <cell r="BJ10">
            <v>64</v>
          </cell>
          <cell r="BL10" t="str">
            <v>-</v>
          </cell>
          <cell r="BM10" t="str">
            <v>ASPTT VANNES 3</v>
          </cell>
          <cell r="BN10">
            <v>12.000060421006379</v>
          </cell>
          <cell r="BO10">
            <v>7</v>
          </cell>
          <cell r="BP10">
            <v>2</v>
          </cell>
          <cell r="BQ10">
            <v>1</v>
          </cell>
          <cell r="BR10">
            <v>4</v>
          </cell>
          <cell r="BS10">
            <v>44</v>
          </cell>
          <cell r="BT10">
            <v>54</v>
          </cell>
          <cell r="BV10" t="str">
            <v>MTT 8:  D4     G</v>
          </cell>
          <cell r="BW10" t="b">
            <v>0</v>
          </cell>
          <cell r="BY10">
            <v>4.1783544416440012E-5</v>
          </cell>
          <cell r="BZ10" t="str">
            <v/>
          </cell>
          <cell r="CA10">
            <v>8.5692153289707973E-5</v>
          </cell>
          <cell r="CB10" t="str">
            <v/>
          </cell>
          <cell r="CC10">
            <v>6.0000460470760988</v>
          </cell>
          <cell r="CD10" t="str">
            <v>Le Garnec Sacha</v>
          </cell>
          <cell r="CE10">
            <v>9.7528813257835632E-5</v>
          </cell>
          <cell r="CF10" t="str">
            <v/>
          </cell>
          <cell r="CG10">
            <v>2.72876904758409E-5</v>
          </cell>
          <cell r="CH10" t="str">
            <v/>
          </cell>
          <cell r="CI10">
            <v>4.3063710085542779E-6</v>
          </cell>
          <cell r="CJ10" t="str">
            <v/>
          </cell>
          <cell r="CK10">
            <v>3.2918171523270101E-5</v>
          </cell>
          <cell r="CL10" t="str">
            <v/>
          </cell>
          <cell r="CM10">
            <v>3.2011477268249379E-5</v>
          </cell>
          <cell r="CN10" t="str">
            <v/>
          </cell>
          <cell r="CO10">
            <v>9</v>
          </cell>
          <cell r="CP10">
            <v>13.003541877652173</v>
          </cell>
          <cell r="CQ10">
            <v>3</v>
          </cell>
          <cell r="CR10">
            <v>3</v>
          </cell>
          <cell r="CS10">
            <v>3</v>
          </cell>
          <cell r="CT10">
            <v>3</v>
          </cell>
          <cell r="CU10">
            <v>3</v>
          </cell>
          <cell r="CV10">
            <v>3</v>
          </cell>
          <cell r="CW10">
            <v>3</v>
          </cell>
          <cell r="CX10">
            <v>3</v>
          </cell>
          <cell r="CY10">
            <v>3</v>
          </cell>
          <cell r="CZ10">
            <v>3</v>
          </cell>
          <cell r="DA10">
            <v>3</v>
          </cell>
          <cell r="DB10">
            <v>0</v>
          </cell>
          <cell r="DC10">
            <v>3</v>
          </cell>
          <cell r="DD10">
            <v>3</v>
          </cell>
          <cell r="DE10">
            <v>24</v>
          </cell>
          <cell r="DF10">
            <v>0</v>
          </cell>
          <cell r="DG10">
            <v>42</v>
          </cell>
          <cell r="DH10">
            <v>0.57149347628660607</v>
          </cell>
          <cell r="DJ10">
            <v>42.239265714784345</v>
          </cell>
          <cell r="DK10" t="str">
            <v>Le Garnec Sacha</v>
          </cell>
        </row>
        <row r="11">
          <cell r="A11" t="str">
            <v>Hilton Franck</v>
          </cell>
          <cell r="B11">
            <v>3</v>
          </cell>
          <cell r="C11">
            <v>2</v>
          </cell>
          <cell r="D11">
            <v>2</v>
          </cell>
          <cell r="E11">
            <v>2</v>
          </cell>
          <cell r="F11">
            <v>2</v>
          </cell>
          <cell r="G11">
            <v>2</v>
          </cell>
          <cell r="H11">
            <v>2</v>
          </cell>
          <cell r="I11">
            <v>2</v>
          </cell>
          <cell r="J11">
            <v>3</v>
          </cell>
          <cell r="K11">
            <v>3</v>
          </cell>
          <cell r="L11">
            <v>3</v>
          </cell>
          <cell r="M11">
            <v>3</v>
          </cell>
          <cell r="O11">
            <v>2</v>
          </cell>
          <cell r="P11">
            <v>2</v>
          </cell>
          <cell r="Q11">
            <v>3</v>
          </cell>
          <cell r="R11">
            <v>2</v>
          </cell>
          <cell r="S11">
            <v>2</v>
          </cell>
          <cell r="T11">
            <v>3</v>
          </cell>
          <cell r="U11">
            <v>3</v>
          </cell>
          <cell r="V11">
            <v>3</v>
          </cell>
          <cell r="W11">
            <v>3</v>
          </cell>
          <cell r="X11">
            <v>2</v>
          </cell>
          <cell r="Y11">
            <v>2</v>
          </cell>
          <cell r="Z11">
            <v>3</v>
          </cell>
          <cell r="AA11">
            <v>1</v>
          </cell>
          <cell r="AC11">
            <v>3</v>
          </cell>
          <cell r="AD11">
            <v>3</v>
          </cell>
          <cell r="AE11">
            <v>13</v>
          </cell>
          <cell r="AF11">
            <v>19</v>
          </cell>
          <cell r="AG11">
            <v>21</v>
          </cell>
          <cell r="AH11">
            <v>0.90477115985218792</v>
          </cell>
          <cell r="AI11">
            <v>14</v>
          </cell>
          <cell r="AJ11">
            <v>18</v>
          </cell>
          <cell r="AK11">
            <v>0.77778182553367647</v>
          </cell>
          <cell r="AL11">
            <v>33</v>
          </cell>
          <cell r="AM11">
            <v>39</v>
          </cell>
          <cell r="AN11">
            <v>0.84615789255864093</v>
          </cell>
          <cell r="AO11">
            <v>3.0016659797240997</v>
          </cell>
          <cell r="AP11">
            <v>3.0062841552030326</v>
          </cell>
          <cell r="AQ11">
            <v>3.005628457249959</v>
          </cell>
          <cell r="AR11">
            <v>3.0025772402836823</v>
          </cell>
          <cell r="AS11">
            <v>3.0030512176957846</v>
          </cell>
          <cell r="AT11" t="str">
            <v>e</v>
          </cell>
          <cell r="AU11">
            <v>2.0006974272450453</v>
          </cell>
          <cell r="AV11">
            <v>2.0076906564790642</v>
          </cell>
          <cell r="AX11" t="str">
            <v>Hilton Franck</v>
          </cell>
          <cell r="AY11" t="str">
            <v/>
          </cell>
          <cell r="AZ11">
            <v>3</v>
          </cell>
          <cell r="BB11" t="str">
            <v>*</v>
          </cell>
          <cell r="BC11" t="str">
            <v>Vict 10 - 4 contre RP FOUESNANT 5</v>
          </cell>
          <cell r="BL11" t="str">
            <v>*</v>
          </cell>
          <cell r="BM11" t="str">
            <v>Vict 12 - 2 contre L. PLOERMEL 3</v>
          </cell>
          <cell r="BV11" t="str">
            <v>* devant en bas à gauche fait apparaitre le résultat</v>
          </cell>
          <cell r="BY11">
            <v>4.4708387975150582E-5</v>
          </cell>
          <cell r="BZ11" t="str">
            <v/>
          </cell>
          <cell r="CA11">
            <v>2.0000190203774051</v>
          </cell>
          <cell r="CB11" t="str">
            <v>Hilton Franck</v>
          </cell>
          <cell r="CC11">
            <v>4.0000469022984353</v>
          </cell>
          <cell r="CD11" t="str">
            <v>Hilton Franck</v>
          </cell>
          <cell r="CE11">
            <v>1.373022799158865E-5</v>
          </cell>
          <cell r="CF11" t="str">
            <v/>
          </cell>
          <cell r="CG11">
            <v>6.862645209183271E-5</v>
          </cell>
          <cell r="CH11" t="str">
            <v/>
          </cell>
          <cell r="CI11">
            <v>4.9605431093653088E-5</v>
          </cell>
          <cell r="CJ11" t="str">
            <v/>
          </cell>
          <cell r="CK11">
            <v>8.8590627649231014E-5</v>
          </cell>
          <cell r="CL11" t="str">
            <v/>
          </cell>
          <cell r="CM11">
            <v>6.6365622142684164E-5</v>
          </cell>
          <cell r="CN11" t="str">
            <v/>
          </cell>
          <cell r="CO11">
            <v>0</v>
          </cell>
          <cell r="CP11">
            <v>13.007484454328567</v>
          </cell>
          <cell r="CQ11">
            <v>3</v>
          </cell>
          <cell r="CR11">
            <v>3</v>
          </cell>
          <cell r="CS11">
            <v>3</v>
          </cell>
          <cell r="CT11">
            <v>3</v>
          </cell>
          <cell r="CU11">
            <v>3</v>
          </cell>
          <cell r="CV11">
            <v>3</v>
          </cell>
          <cell r="CW11">
            <v>3</v>
          </cell>
          <cell r="CX11">
            <v>3</v>
          </cell>
          <cell r="CY11">
            <v>3</v>
          </cell>
          <cell r="CZ11">
            <v>3</v>
          </cell>
          <cell r="DA11">
            <v>3</v>
          </cell>
          <cell r="DB11">
            <v>0</v>
          </cell>
          <cell r="DC11">
            <v>3</v>
          </cell>
          <cell r="DD11">
            <v>3</v>
          </cell>
          <cell r="DE11">
            <v>57</v>
          </cell>
          <cell r="DF11">
            <v>0</v>
          </cell>
          <cell r="DG11">
            <v>74</v>
          </cell>
          <cell r="DH11">
            <v>0.77027760658521327</v>
          </cell>
          <cell r="DJ11">
            <v>74.473043633576566</v>
          </cell>
          <cell r="DK11" t="str">
            <v>Hilton Franck</v>
          </cell>
        </row>
        <row r="12">
          <cell r="A12" t="str">
            <v>Cojean Youen</v>
          </cell>
          <cell r="B12">
            <v>3</v>
          </cell>
          <cell r="C12">
            <v>2</v>
          </cell>
          <cell r="D12">
            <v>2</v>
          </cell>
          <cell r="E12">
            <v>2</v>
          </cell>
          <cell r="F12">
            <v>2</v>
          </cell>
          <cell r="G12">
            <v>2</v>
          </cell>
          <cell r="H12">
            <v>2</v>
          </cell>
          <cell r="I12">
            <v>2</v>
          </cell>
          <cell r="J12">
            <v>3</v>
          </cell>
          <cell r="K12">
            <v>3</v>
          </cell>
          <cell r="L12">
            <v>2</v>
          </cell>
          <cell r="M12">
            <v>3</v>
          </cell>
          <cell r="O12">
            <v>3</v>
          </cell>
          <cell r="P12">
            <v>3</v>
          </cell>
          <cell r="Q12">
            <v>2</v>
          </cell>
          <cell r="R12">
            <v>2</v>
          </cell>
          <cell r="S12">
            <v>1</v>
          </cell>
          <cell r="T12">
            <v>1</v>
          </cell>
          <cell r="U12">
            <v>3</v>
          </cell>
          <cell r="V12">
            <v>3</v>
          </cell>
          <cell r="W12">
            <v>0</v>
          </cell>
          <cell r="X12">
            <v>3</v>
          </cell>
          <cell r="Y12">
            <v>1</v>
          </cell>
          <cell r="Z12">
            <v>2</v>
          </cell>
          <cell r="AA12">
            <v>1</v>
          </cell>
          <cell r="AC12">
            <v>2</v>
          </cell>
          <cell r="AD12">
            <v>1</v>
          </cell>
          <cell r="AE12">
            <v>13</v>
          </cell>
          <cell r="AF12">
            <v>12</v>
          </cell>
          <cell r="AG12">
            <v>21</v>
          </cell>
          <cell r="AH12">
            <v>0.57143667539752541</v>
          </cell>
          <cell r="AI12">
            <v>10</v>
          </cell>
          <cell r="AJ12">
            <v>18</v>
          </cell>
          <cell r="AK12">
            <v>0.55556162408481913</v>
          </cell>
          <cell r="AL12">
            <v>22</v>
          </cell>
          <cell r="AM12">
            <v>39</v>
          </cell>
          <cell r="AN12">
            <v>0.56410737908523167</v>
          </cell>
          <cell r="AO12">
            <v>3.0018483748288305</v>
          </cell>
          <cell r="AP12">
            <v>3.0002645814760953</v>
          </cell>
          <cell r="AQ12">
            <v>3.0051522155973234</v>
          </cell>
          <cell r="AR12">
            <v>2.0004009005889736</v>
          </cell>
          <cell r="AS12">
            <v>3.0033188094240133</v>
          </cell>
          <cell r="AT12" t="str">
            <v>e</v>
          </cell>
          <cell r="AU12">
            <v>3.0056222939047159</v>
          </cell>
          <cell r="AV12">
            <v>3.0056716144937066</v>
          </cell>
          <cell r="AX12" t="str">
            <v>Cojean Youen</v>
          </cell>
          <cell r="AY12" t="str">
            <v/>
          </cell>
          <cell r="AZ12">
            <v>3</v>
          </cell>
          <cell r="BB12" t="str">
            <v>Une petite dernière pour 2014-2015 en attendant ...</v>
          </cell>
          <cell r="BL12" t="str">
            <v>La pré en cadeau bien mérité</v>
          </cell>
          <cell r="BY12">
            <v>4.8899928572081945E-5</v>
          </cell>
          <cell r="BZ12" t="str">
            <v/>
          </cell>
          <cell r="CA12">
            <v>1.0000463708483562</v>
          </cell>
          <cell r="CB12" t="str">
            <v>Cojean Youen</v>
          </cell>
          <cell r="CC12">
            <v>5.0000071924994378</v>
          </cell>
          <cell r="CD12" t="str">
            <v>Cojean Youen</v>
          </cell>
          <cell r="CE12">
            <v>9.3644554666277978E-6</v>
          </cell>
          <cell r="CF12" t="str">
            <v/>
          </cell>
          <cell r="CG12">
            <v>4.4391723501832959E-6</v>
          </cell>
          <cell r="CH12" t="str">
            <v/>
          </cell>
          <cell r="CI12">
            <v>5.911585156539885E-5</v>
          </cell>
          <cell r="CJ12" t="str">
            <v/>
          </cell>
          <cell r="CK12">
            <v>8.5216647995172703E-5</v>
          </cell>
          <cell r="CL12" t="str">
            <v/>
          </cell>
          <cell r="CM12">
            <v>9.1456343448813863E-5</v>
          </cell>
          <cell r="CN12" t="str">
            <v/>
          </cell>
          <cell r="CP12">
            <v>13.003569517579336</v>
          </cell>
          <cell r="CQ12">
            <v>3</v>
          </cell>
          <cell r="CR12">
            <v>3</v>
          </cell>
          <cell r="CS12">
            <v>3</v>
          </cell>
          <cell r="CT12">
            <v>3</v>
          </cell>
          <cell r="CU12">
            <v>3</v>
          </cell>
          <cell r="CV12">
            <v>3</v>
          </cell>
          <cell r="CW12">
            <v>3</v>
          </cell>
          <cell r="CX12">
            <v>3</v>
          </cell>
          <cell r="CY12">
            <v>3</v>
          </cell>
          <cell r="CZ12">
            <v>3</v>
          </cell>
          <cell r="DA12">
            <v>3</v>
          </cell>
          <cell r="DB12">
            <v>0</v>
          </cell>
          <cell r="DC12">
            <v>3</v>
          </cell>
          <cell r="DD12">
            <v>3</v>
          </cell>
          <cell r="DE12">
            <v>34</v>
          </cell>
          <cell r="DG12">
            <v>63</v>
          </cell>
          <cell r="DH12">
            <v>0.53973244457131941</v>
          </cell>
          <cell r="DJ12">
            <v>63.510920954152887</v>
          </cell>
          <cell r="DK12" t="str">
            <v>Cojean Youen</v>
          </cell>
        </row>
        <row r="13">
          <cell r="A13" t="str">
            <v>Morin Emmanuel</v>
          </cell>
          <cell r="B13">
            <v>3</v>
          </cell>
          <cell r="C13">
            <v>2</v>
          </cell>
          <cell r="E13">
            <v>2</v>
          </cell>
          <cell r="F13">
            <v>2</v>
          </cell>
          <cell r="G13">
            <v>2</v>
          </cell>
          <cell r="H13">
            <v>2</v>
          </cell>
          <cell r="I13">
            <v>2</v>
          </cell>
          <cell r="J13">
            <v>3</v>
          </cell>
          <cell r="K13">
            <v>3</v>
          </cell>
          <cell r="L13">
            <v>3</v>
          </cell>
          <cell r="M13">
            <v>3</v>
          </cell>
          <cell r="O13">
            <v>3</v>
          </cell>
          <cell r="P13">
            <v>3</v>
          </cell>
          <cell r="Q13">
            <v>2</v>
          </cell>
          <cell r="S13">
            <v>1</v>
          </cell>
          <cell r="T13">
            <v>2</v>
          </cell>
          <cell r="U13">
            <v>2</v>
          </cell>
          <cell r="V13">
            <v>2</v>
          </cell>
          <cell r="W13">
            <v>1</v>
          </cell>
          <cell r="X13">
            <v>1</v>
          </cell>
          <cell r="Y13">
            <v>0</v>
          </cell>
          <cell r="Z13">
            <v>2</v>
          </cell>
          <cell r="AA13">
            <v>1</v>
          </cell>
          <cell r="AC13">
            <v>3</v>
          </cell>
          <cell r="AD13">
            <v>1</v>
          </cell>
          <cell r="AE13">
            <v>12</v>
          </cell>
          <cell r="AF13">
            <v>10</v>
          </cell>
          <cell r="AG13">
            <v>18</v>
          </cell>
          <cell r="AH13">
            <v>0.55556538317692727</v>
          </cell>
          <cell r="AI13">
            <v>8</v>
          </cell>
          <cell r="AJ13">
            <v>18</v>
          </cell>
          <cell r="AK13">
            <v>0.44445263039234595</v>
          </cell>
          <cell r="AL13">
            <v>18</v>
          </cell>
          <cell r="AM13">
            <v>36</v>
          </cell>
          <cell r="AN13">
            <v>0.50000692321628826</v>
          </cell>
          <cell r="AO13">
            <v>3.0049713628693158</v>
          </cell>
          <cell r="AP13">
            <v>3.0076779151040949</v>
          </cell>
          <cell r="AQ13">
            <v>3.0039130935036091</v>
          </cell>
          <cell r="AR13">
            <v>3.0067766478129259</v>
          </cell>
          <cell r="AS13">
            <v>3.0093855330498176</v>
          </cell>
          <cell r="AT13" t="str">
            <v>e</v>
          </cell>
          <cell r="AU13">
            <v>3.0048628850949761</v>
          </cell>
          <cell r="AV13">
            <v>3.0057994677911779</v>
          </cell>
          <cell r="AX13" t="str">
            <v>Morin Emmanuel</v>
          </cell>
          <cell r="AY13" t="str">
            <v/>
          </cell>
          <cell r="AZ13">
            <v>3</v>
          </cell>
          <cell r="BB13" t="str">
            <v>Clt</v>
          </cell>
          <cell r="BC13" t="str">
            <v>MTT 3:  D2     E</v>
          </cell>
          <cell r="BD13" t="str">
            <v>Pts</v>
          </cell>
          <cell r="BE13" t="str">
            <v>Joués</v>
          </cell>
          <cell r="BF13" t="str">
            <v>vic</v>
          </cell>
          <cell r="BG13" t="str">
            <v>nul</v>
          </cell>
          <cell r="BH13" t="str">
            <v>déf</v>
          </cell>
          <cell r="BI13" t="str">
            <v>PG</v>
          </cell>
          <cell r="BJ13" t="str">
            <v>PP</v>
          </cell>
          <cell r="BL13" t="str">
            <v>Clt</v>
          </cell>
          <cell r="BM13" t="str">
            <v>MTT 4:  D2     D</v>
          </cell>
          <cell r="BN13" t="str">
            <v>Pts</v>
          </cell>
          <cell r="BO13" t="str">
            <v>Joués</v>
          </cell>
          <cell r="BP13" t="str">
            <v>vic</v>
          </cell>
          <cell r="BQ13" t="str">
            <v>nul</v>
          </cell>
          <cell r="BR13" t="str">
            <v>déf</v>
          </cell>
          <cell r="BS13" t="str">
            <v>PG</v>
          </cell>
          <cell r="BT13" t="str">
            <v>PP</v>
          </cell>
          <cell r="BW13" t="str">
            <v/>
          </cell>
          <cell r="BY13">
            <v>4.6935621049691604E-5</v>
          </cell>
          <cell r="BZ13" t="str">
            <v/>
          </cell>
          <cell r="CA13">
            <v>7.0674331846069024E-5</v>
          </cell>
          <cell r="CB13" t="str">
            <v/>
          </cell>
          <cell r="CC13">
            <v>6.0000107709777124</v>
          </cell>
          <cell r="CD13" t="str">
            <v>Morin Emmanuel</v>
          </cell>
          <cell r="CE13">
            <v>5.2547300124047214E-5</v>
          </cell>
          <cell r="CF13" t="str">
            <v/>
          </cell>
          <cell r="CG13">
            <v>8.2027335124325865E-5</v>
          </cell>
          <cell r="CH13" t="str">
            <v/>
          </cell>
          <cell r="CI13">
            <v>6.7694082712545762E-5</v>
          </cell>
          <cell r="CJ13" t="str">
            <v/>
          </cell>
          <cell r="CK13">
            <v>5.7679400783116067E-5</v>
          </cell>
          <cell r="CL13" t="str">
            <v/>
          </cell>
          <cell r="CM13">
            <v>9.6303772402846723E-5</v>
          </cell>
          <cell r="CN13" t="str">
            <v/>
          </cell>
          <cell r="CP13">
            <v>12.009200476377918</v>
          </cell>
          <cell r="CQ13">
            <v>3</v>
          </cell>
          <cell r="CR13">
            <v>0</v>
          </cell>
          <cell r="CS13">
            <v>3</v>
          </cell>
          <cell r="CT13">
            <v>3</v>
          </cell>
          <cell r="CU13">
            <v>3</v>
          </cell>
          <cell r="CV13">
            <v>3</v>
          </cell>
          <cell r="CW13">
            <v>3</v>
          </cell>
          <cell r="CX13">
            <v>3</v>
          </cell>
          <cell r="CY13">
            <v>3</v>
          </cell>
          <cell r="CZ13">
            <v>3</v>
          </cell>
          <cell r="DA13">
            <v>3</v>
          </cell>
          <cell r="DB13">
            <v>0</v>
          </cell>
          <cell r="DC13">
            <v>3</v>
          </cell>
          <cell r="DD13">
            <v>3</v>
          </cell>
          <cell r="DE13">
            <v>29</v>
          </cell>
          <cell r="DG13">
            <v>54</v>
          </cell>
          <cell r="DH13">
            <v>0.53705643234216605</v>
          </cell>
          <cell r="DJ13">
            <v>54.641445928780087</v>
          </cell>
          <cell r="DK13" t="str">
            <v>Morin Emmanuel</v>
          </cell>
        </row>
        <row r="14">
          <cell r="A14" t="str">
            <v>Rochefort Reginald</v>
          </cell>
          <cell r="B14">
            <v>4</v>
          </cell>
          <cell r="C14">
            <v>4</v>
          </cell>
          <cell r="D14">
            <v>4</v>
          </cell>
          <cell r="E14">
            <v>4</v>
          </cell>
          <cell r="F14">
            <v>4</v>
          </cell>
          <cell r="G14">
            <v>4</v>
          </cell>
          <cell r="H14">
            <v>4</v>
          </cell>
          <cell r="K14">
            <v>4</v>
          </cell>
          <cell r="L14">
            <v>4</v>
          </cell>
          <cell r="M14">
            <v>4</v>
          </cell>
          <cell r="N14">
            <v>4</v>
          </cell>
          <cell r="O14">
            <v>4</v>
          </cell>
          <cell r="P14">
            <v>4</v>
          </cell>
          <cell r="Q14">
            <v>1</v>
          </cell>
          <cell r="R14">
            <v>2</v>
          </cell>
          <cell r="S14">
            <v>0</v>
          </cell>
          <cell r="T14">
            <v>0</v>
          </cell>
          <cell r="U14">
            <v>1</v>
          </cell>
          <cell r="V14">
            <v>0</v>
          </cell>
          <cell r="Y14">
            <v>1</v>
          </cell>
          <cell r="Z14">
            <v>3</v>
          </cell>
          <cell r="AA14">
            <v>0</v>
          </cell>
          <cell r="AB14">
            <v>2</v>
          </cell>
          <cell r="AC14">
            <v>2</v>
          </cell>
          <cell r="AD14">
            <v>2</v>
          </cell>
          <cell r="AE14">
            <v>12</v>
          </cell>
          <cell r="AF14">
            <v>4</v>
          </cell>
          <cell r="AG14">
            <v>18</v>
          </cell>
          <cell r="AH14">
            <v>0.22222500634868989</v>
          </cell>
          <cell r="AI14">
            <v>10</v>
          </cell>
          <cell r="AJ14">
            <v>18</v>
          </cell>
          <cell r="AK14">
            <v>0.55555954846893896</v>
          </cell>
          <cell r="AL14">
            <v>14</v>
          </cell>
          <cell r="AM14">
            <v>36</v>
          </cell>
          <cell r="AN14">
            <v>0.38889817589098685</v>
          </cell>
          <cell r="AO14">
            <v>4.0050771961738239</v>
          </cell>
          <cell r="AP14" t="str">
            <v>e</v>
          </cell>
          <cell r="AQ14">
            <v>4.00846277945588</v>
          </cell>
          <cell r="AR14">
            <v>4.002220255672202</v>
          </cell>
          <cell r="AS14">
            <v>4.0034157627080411</v>
          </cell>
          <cell r="AT14">
            <v>4.0084442944822518</v>
          </cell>
          <cell r="AU14">
            <v>4.0008679872610466</v>
          </cell>
          <cell r="AV14">
            <v>4.00949591958073</v>
          </cell>
          <cell r="AX14" t="str">
            <v>Rochefort Reginald</v>
          </cell>
          <cell r="AY14" t="str">
            <v/>
          </cell>
          <cell r="AZ14">
            <v>4</v>
          </cell>
          <cell r="BB14">
            <v>1</v>
          </cell>
          <cell r="BC14" t="str">
            <v>BO QUESTEMBERT 1</v>
          </cell>
          <cell r="BD14">
            <v>21.00003237112195</v>
          </cell>
          <cell r="BE14">
            <v>7</v>
          </cell>
          <cell r="BF14">
            <v>7</v>
          </cell>
          <cell r="BG14">
            <v>0</v>
          </cell>
          <cell r="BH14">
            <v>0</v>
          </cell>
          <cell r="BI14">
            <v>79</v>
          </cell>
          <cell r="BJ14">
            <v>19</v>
          </cell>
          <cell r="BL14">
            <v>1</v>
          </cell>
          <cell r="BM14" t="str">
            <v>US ST-ABRAHAM 2</v>
          </cell>
          <cell r="BN14">
            <v>17.000016398985451</v>
          </cell>
          <cell r="BO14">
            <v>7</v>
          </cell>
          <cell r="BP14">
            <v>5</v>
          </cell>
          <cell r="BQ14">
            <v>0</v>
          </cell>
          <cell r="BR14">
            <v>2</v>
          </cell>
          <cell r="BS14">
            <v>54</v>
          </cell>
          <cell r="BT14">
            <v>44</v>
          </cell>
          <cell r="BY14">
            <v>4.6617846839769598E-5</v>
          </cell>
          <cell r="BZ14" t="str">
            <v/>
          </cell>
          <cell r="CA14">
            <v>4.2970038529722209E-5</v>
          </cell>
          <cell r="CB14" t="str">
            <v/>
          </cell>
          <cell r="CC14">
            <v>5.4646692694359871E-5</v>
          </cell>
          <cell r="CD14" t="str">
            <v/>
          </cell>
          <cell r="CE14">
            <v>6.0000500706619189</v>
          </cell>
          <cell r="CF14" t="str">
            <v>Rochefort Reginald</v>
          </cell>
          <cell r="CG14">
            <v>6.1786698525060352E-5</v>
          </cell>
          <cell r="CH14" t="str">
            <v/>
          </cell>
          <cell r="CI14">
            <v>6.9581071248940243E-5</v>
          </cell>
          <cell r="CJ14" t="str">
            <v/>
          </cell>
          <cell r="CK14">
            <v>8.9005734100877542E-6</v>
          </cell>
          <cell r="CL14" t="str">
            <v/>
          </cell>
          <cell r="CM14">
            <v>6.1994564646625778E-5</v>
          </cell>
          <cell r="CN14" t="str">
            <v/>
          </cell>
          <cell r="CP14">
            <v>12.00355662583844</v>
          </cell>
          <cell r="CQ14">
            <v>3</v>
          </cell>
          <cell r="CR14">
            <v>3</v>
          </cell>
          <cell r="CS14">
            <v>3</v>
          </cell>
          <cell r="CT14">
            <v>3</v>
          </cell>
          <cell r="CU14">
            <v>3</v>
          </cell>
          <cell r="CV14">
            <v>3</v>
          </cell>
          <cell r="CW14">
            <v>0</v>
          </cell>
          <cell r="CX14">
            <v>0</v>
          </cell>
          <cell r="CY14">
            <v>3</v>
          </cell>
          <cell r="CZ14">
            <v>3</v>
          </cell>
          <cell r="DA14">
            <v>3</v>
          </cell>
          <cell r="DB14">
            <v>3</v>
          </cell>
          <cell r="DC14">
            <v>3</v>
          </cell>
          <cell r="DD14">
            <v>3</v>
          </cell>
          <cell r="DE14">
            <v>17</v>
          </cell>
          <cell r="DG14">
            <v>40</v>
          </cell>
          <cell r="DH14">
            <v>0.42509244055608142</v>
          </cell>
          <cell r="DJ14">
            <v>40.901295667207009</v>
          </cell>
          <cell r="DK14" t="str">
            <v>Rochefort Reginald</v>
          </cell>
        </row>
        <row r="15">
          <cell r="A15" t="str">
            <v>Couture Christophe</v>
          </cell>
          <cell r="B15">
            <v>4</v>
          </cell>
          <cell r="D15">
            <v>1</v>
          </cell>
          <cell r="E15">
            <v>3</v>
          </cell>
          <cell r="F15">
            <v>3</v>
          </cell>
          <cell r="H15">
            <v>3</v>
          </cell>
          <cell r="I15">
            <v>3</v>
          </cell>
          <cell r="J15">
            <v>4</v>
          </cell>
          <cell r="K15">
            <v>4</v>
          </cell>
          <cell r="M15">
            <v>4</v>
          </cell>
          <cell r="N15">
            <v>2</v>
          </cell>
          <cell r="R15">
            <v>0</v>
          </cell>
          <cell r="S15">
            <v>2</v>
          </cell>
          <cell r="T15">
            <v>2</v>
          </cell>
          <cell r="V15">
            <v>1</v>
          </cell>
          <cell r="W15">
            <v>1</v>
          </cell>
          <cell r="X15">
            <v>2</v>
          </cell>
          <cell r="Y15">
            <v>1</v>
          </cell>
          <cell r="AA15">
            <v>2</v>
          </cell>
          <cell r="AB15">
            <v>0</v>
          </cell>
          <cell r="AE15">
            <v>9</v>
          </cell>
          <cell r="AF15">
            <v>6</v>
          </cell>
          <cell r="AG15">
            <v>15</v>
          </cell>
          <cell r="AH15">
            <v>0.40000623564097199</v>
          </cell>
          <cell r="AI15">
            <v>5</v>
          </cell>
          <cell r="AJ15">
            <v>12</v>
          </cell>
          <cell r="AK15">
            <v>0.41667023334723241</v>
          </cell>
          <cell r="AL15">
            <v>11</v>
          </cell>
          <cell r="AM15">
            <v>27</v>
          </cell>
          <cell r="AN15">
            <v>0.40740843988929093</v>
          </cell>
          <cell r="AO15">
            <v>4.0094280566752643</v>
          </cell>
          <cell r="AP15">
            <v>4.0080270967999043</v>
          </cell>
          <cell r="AQ15">
            <v>4.0038246114751068</v>
          </cell>
          <cell r="AR15" t="str">
            <v>e</v>
          </cell>
          <cell r="AS15">
            <v>4.0023983944946515</v>
          </cell>
          <cell r="AT15">
            <v>2.0064167620268964</v>
          </cell>
          <cell r="AU15" t="str">
            <v>e</v>
          </cell>
          <cell r="AV15" t="str">
            <v>e</v>
          </cell>
          <cell r="AX15" t="str">
            <v>Couture Christophe</v>
          </cell>
          <cell r="AY15" t="str">
            <v/>
          </cell>
          <cell r="AZ15">
            <v>4</v>
          </cell>
          <cell r="BB15">
            <v>2</v>
          </cell>
          <cell r="BC15" t="str">
            <v>TT PAYS LOCMINE 1</v>
          </cell>
          <cell r="BD15">
            <v>18.000065935395277</v>
          </cell>
          <cell r="BE15">
            <v>7</v>
          </cell>
          <cell r="BF15">
            <v>5</v>
          </cell>
          <cell r="BG15">
            <v>1</v>
          </cell>
          <cell r="BH15">
            <v>1</v>
          </cell>
          <cell r="BI15">
            <v>65</v>
          </cell>
          <cell r="BJ15">
            <v>33</v>
          </cell>
          <cell r="BL15">
            <v>2</v>
          </cell>
          <cell r="BM15" t="str">
            <v>L. PLOERMEL 4</v>
          </cell>
          <cell r="BN15">
            <v>15.000058236396544</v>
          </cell>
          <cell r="BO15">
            <v>7</v>
          </cell>
          <cell r="BP15">
            <v>4</v>
          </cell>
          <cell r="BQ15">
            <v>0</v>
          </cell>
          <cell r="BR15">
            <v>3</v>
          </cell>
          <cell r="BS15">
            <v>53</v>
          </cell>
          <cell r="BT15">
            <v>45</v>
          </cell>
          <cell r="BV15" t="str">
            <v>59 victoires et 10 matchs nuls sur 101 rencontres disputées .(68 %)</v>
          </cell>
          <cell r="BY15">
            <v>8.2721551183361332E-5</v>
          </cell>
          <cell r="BZ15" t="str">
            <v/>
          </cell>
          <cell r="CA15">
            <v>1.0000216622925737</v>
          </cell>
          <cell r="CB15" t="str">
            <v>Couture Christophe</v>
          </cell>
          <cell r="CC15">
            <v>2.0004080238318668E-5</v>
          </cell>
          <cell r="CD15" t="str">
            <v/>
          </cell>
          <cell r="CE15">
            <v>3.0000308719662789</v>
          </cell>
          <cell r="CF15" t="str">
            <v>Couture Christophe</v>
          </cell>
          <cell r="CG15">
            <v>5.0376102704852225E-5</v>
          </cell>
          <cell r="CH15" t="str">
            <v/>
          </cell>
          <cell r="CI15">
            <v>2.5790589819919985E-5</v>
          </cell>
          <cell r="CJ15" t="str">
            <v/>
          </cell>
          <cell r="CK15">
            <v>4.2227229260078695E-5</v>
          </cell>
          <cell r="CL15" t="str">
            <v/>
          </cell>
          <cell r="CM15">
            <v>9.4382721987779788E-5</v>
          </cell>
          <cell r="CN15" t="str">
            <v/>
          </cell>
          <cell r="CP15">
            <v>9.0041898128865085</v>
          </cell>
          <cell r="CQ15">
            <v>0</v>
          </cell>
          <cell r="CR15">
            <v>3</v>
          </cell>
          <cell r="CS15">
            <v>3</v>
          </cell>
          <cell r="CT15">
            <v>3</v>
          </cell>
          <cell r="CU15">
            <v>0</v>
          </cell>
          <cell r="CV15">
            <v>3</v>
          </cell>
          <cell r="CW15">
            <v>3</v>
          </cell>
          <cell r="CX15">
            <v>3</v>
          </cell>
          <cell r="CY15">
            <v>3</v>
          </cell>
          <cell r="CZ15">
            <v>0</v>
          </cell>
          <cell r="DA15">
            <v>3</v>
          </cell>
          <cell r="DB15">
            <v>3</v>
          </cell>
          <cell r="DC15">
            <v>0</v>
          </cell>
          <cell r="DD15">
            <v>0</v>
          </cell>
          <cell r="DE15">
            <v>11</v>
          </cell>
          <cell r="DG15">
            <v>29</v>
          </cell>
          <cell r="DH15">
            <v>0.37935489815187312</v>
          </cell>
          <cell r="DJ15">
            <v>29.589590113184489</v>
          </cell>
          <cell r="DK15" t="str">
            <v>Couture Christophe</v>
          </cell>
        </row>
        <row r="16">
          <cell r="A16" t="str">
            <v>Mierzwa Julien</v>
          </cell>
          <cell r="B16">
            <v>4</v>
          </cell>
          <cell r="D16">
            <v>4</v>
          </cell>
          <cell r="E16">
            <v>5</v>
          </cell>
          <cell r="F16">
            <v>1</v>
          </cell>
          <cell r="H16">
            <v>4</v>
          </cell>
          <cell r="I16">
            <v>4</v>
          </cell>
          <cell r="J16">
            <v>4</v>
          </cell>
          <cell r="L16">
            <v>4</v>
          </cell>
          <cell r="M16">
            <v>4</v>
          </cell>
          <cell r="N16">
            <v>4</v>
          </cell>
          <cell r="O16">
            <v>4</v>
          </cell>
          <cell r="R16">
            <v>3</v>
          </cell>
          <cell r="S16">
            <v>0</v>
          </cell>
          <cell r="T16">
            <v>1</v>
          </cell>
          <cell r="V16">
            <v>0</v>
          </cell>
          <cell r="W16">
            <v>0</v>
          </cell>
          <cell r="X16">
            <v>2</v>
          </cell>
          <cell r="Z16">
            <v>3</v>
          </cell>
          <cell r="AA16">
            <v>1</v>
          </cell>
          <cell r="AB16">
            <v>1</v>
          </cell>
          <cell r="AC16">
            <v>0</v>
          </cell>
          <cell r="AE16">
            <v>10</v>
          </cell>
          <cell r="AF16">
            <v>4</v>
          </cell>
          <cell r="AG16">
            <v>15</v>
          </cell>
          <cell r="AH16">
            <v>0.26666681545614118</v>
          </cell>
          <cell r="AI16">
            <v>7</v>
          </cell>
          <cell r="AJ16">
            <v>15</v>
          </cell>
          <cell r="AK16">
            <v>0.46666925550794547</v>
          </cell>
          <cell r="AL16">
            <v>11</v>
          </cell>
          <cell r="AM16">
            <v>30</v>
          </cell>
          <cell r="AN16">
            <v>0.3666698025945091</v>
          </cell>
          <cell r="AO16">
            <v>4.0029412913389617</v>
          </cell>
          <cell r="AP16">
            <v>4.0098869449661727</v>
          </cell>
          <cell r="AQ16" t="str">
            <v>e</v>
          </cell>
          <cell r="AR16">
            <v>4.0069792108695852</v>
          </cell>
          <cell r="AS16">
            <v>4.0075430571982098</v>
          </cell>
          <cell r="AT16">
            <v>4.008824350552981</v>
          </cell>
          <cell r="AU16">
            <v>4.0016274188113865</v>
          </cell>
          <cell r="AV16" t="str">
            <v>e</v>
          </cell>
          <cell r="AX16" t="str">
            <v>Mierzwa Julien</v>
          </cell>
          <cell r="AY16" t="str">
            <v/>
          </cell>
          <cell r="AZ16">
            <v>4</v>
          </cell>
          <cell r="BB16">
            <v>3</v>
          </cell>
          <cell r="BC16" t="str">
            <v>CTT MENIMUR 3</v>
          </cell>
          <cell r="BD16">
            <v>15.000070890891182</v>
          </cell>
          <cell r="BE16">
            <v>7</v>
          </cell>
          <cell r="BF16">
            <v>4</v>
          </cell>
          <cell r="BG16">
            <v>0</v>
          </cell>
          <cell r="BH16">
            <v>3</v>
          </cell>
          <cell r="BI16">
            <v>52</v>
          </cell>
          <cell r="BJ16">
            <v>46</v>
          </cell>
          <cell r="BL16" t="str">
            <v>-</v>
          </cell>
          <cell r="BM16" t="str">
            <v>ES PLESCOP TT 5</v>
          </cell>
          <cell r="BN16">
            <v>15.000027749451164</v>
          </cell>
          <cell r="BO16">
            <v>7</v>
          </cell>
          <cell r="BP16">
            <v>4</v>
          </cell>
          <cell r="BQ16">
            <v>0</v>
          </cell>
          <cell r="BR16">
            <v>3</v>
          </cell>
          <cell r="BS16">
            <v>52</v>
          </cell>
          <cell r="BT16">
            <v>46</v>
          </cell>
          <cell r="BV16" t="str">
            <v>748 victoires sur 1305 simples disputés (57,3 %)</v>
          </cell>
          <cell r="BY16">
            <v>9.2945927262848995E-5</v>
          </cell>
          <cell r="BZ16" t="str">
            <v/>
          </cell>
          <cell r="CA16">
            <v>3.0249906217774938E-5</v>
          </cell>
          <cell r="CB16" t="str">
            <v/>
          </cell>
          <cell r="CC16">
            <v>4.8514448766879252E-5</v>
          </cell>
          <cell r="CD16" t="str">
            <v/>
          </cell>
          <cell r="CE16">
            <v>5.0000403764419934</v>
          </cell>
          <cell r="CF16" t="str">
            <v>Mierzwa Julien</v>
          </cell>
          <cell r="CG16">
            <v>3.3953014583073225E-5</v>
          </cell>
          <cell r="CH16" t="str">
            <v/>
          </cell>
          <cell r="CI16">
            <v>8.1014183696228212E-5</v>
          </cell>
          <cell r="CJ16" t="str">
            <v/>
          </cell>
          <cell r="CK16">
            <v>6.1318479368267762E-5</v>
          </cell>
          <cell r="CL16" t="str">
            <v/>
          </cell>
          <cell r="CM16">
            <v>4.595886120642211E-5</v>
          </cell>
          <cell r="CN16" t="str">
            <v/>
          </cell>
          <cell r="CP16">
            <v>10.005924085789113</v>
          </cell>
          <cell r="CQ16">
            <v>0</v>
          </cell>
          <cell r="CR16">
            <v>3</v>
          </cell>
          <cell r="CS16">
            <v>3</v>
          </cell>
          <cell r="CT16">
            <v>3</v>
          </cell>
          <cell r="CU16">
            <v>0</v>
          </cell>
          <cell r="CV16">
            <v>3</v>
          </cell>
          <cell r="CW16">
            <v>3</v>
          </cell>
          <cell r="CX16">
            <v>3</v>
          </cell>
          <cell r="CY16">
            <v>0</v>
          </cell>
          <cell r="CZ16">
            <v>3</v>
          </cell>
          <cell r="DA16">
            <v>3</v>
          </cell>
          <cell r="DB16">
            <v>3</v>
          </cell>
          <cell r="DC16">
            <v>3</v>
          </cell>
          <cell r="DD16">
            <v>0</v>
          </cell>
          <cell r="DE16">
            <v>11</v>
          </cell>
          <cell r="DG16">
            <v>30</v>
          </cell>
          <cell r="DH16">
            <v>0.36671054629694716</v>
          </cell>
          <cell r="DJ16">
            <v>30.999290600911678</v>
          </cell>
          <cell r="DK16" t="str">
            <v>Mierzwa Julien</v>
          </cell>
        </row>
        <row r="17">
          <cell r="A17" t="str">
            <v>Colombel Guy</v>
          </cell>
          <cell r="B17">
            <v>4</v>
          </cell>
          <cell r="E17">
            <v>4</v>
          </cell>
          <cell r="G17">
            <v>4</v>
          </cell>
          <cell r="I17">
            <v>4</v>
          </cell>
          <cell r="J17">
            <v>4</v>
          </cell>
          <cell r="K17">
            <v>2</v>
          </cell>
          <cell r="L17">
            <v>4</v>
          </cell>
          <cell r="N17">
            <v>4</v>
          </cell>
          <cell r="O17">
            <v>4</v>
          </cell>
          <cell r="S17">
            <v>1</v>
          </cell>
          <cell r="U17">
            <v>1</v>
          </cell>
          <cell r="W17">
            <v>1</v>
          </cell>
          <cell r="X17">
            <v>2</v>
          </cell>
          <cell r="Y17">
            <v>1</v>
          </cell>
          <cell r="Z17">
            <v>2</v>
          </cell>
          <cell r="AB17">
            <v>1</v>
          </cell>
          <cell r="AC17">
            <v>2</v>
          </cell>
          <cell r="AD17">
            <v>1</v>
          </cell>
          <cell r="AE17">
            <v>8</v>
          </cell>
          <cell r="AF17">
            <v>3</v>
          </cell>
          <cell r="AG17">
            <v>9</v>
          </cell>
          <cell r="AH17">
            <v>0.33333989158175742</v>
          </cell>
          <cell r="AI17">
            <v>9</v>
          </cell>
          <cell r="AJ17">
            <v>15</v>
          </cell>
          <cell r="AK17">
            <v>0.6000065731047407</v>
          </cell>
          <cell r="AL17">
            <v>12</v>
          </cell>
          <cell r="AM17">
            <v>24</v>
          </cell>
          <cell r="AN17">
            <v>0.50000501774518247</v>
          </cell>
          <cell r="AO17">
            <v>4.0078143959126598</v>
          </cell>
          <cell r="AP17">
            <v>4.0018489545739477</v>
          </cell>
          <cell r="AQ17">
            <v>2.00509007997558</v>
          </cell>
          <cell r="AR17">
            <v>4.0031032679967105</v>
          </cell>
          <cell r="AS17" t="str">
            <v>e</v>
          </cell>
          <cell r="AT17">
            <v>4.0089500173163541</v>
          </cell>
          <cell r="AU17">
            <v>4.0006612248158824</v>
          </cell>
          <cell r="AV17" t="str">
            <v>e</v>
          </cell>
          <cell r="AX17" t="str">
            <v>Colombel Guy</v>
          </cell>
          <cell r="AY17" t="str">
            <v/>
          </cell>
          <cell r="AZ17">
            <v>4</v>
          </cell>
          <cell r="BB17" t="str">
            <v>-</v>
          </cell>
          <cell r="BC17" t="str">
            <v>MUZILLAC TT 3</v>
          </cell>
          <cell r="BD17">
            <v>15.000007842125443</v>
          </cell>
          <cell r="BE17">
            <v>7</v>
          </cell>
          <cell r="BF17">
            <v>4</v>
          </cell>
          <cell r="BG17">
            <v>0</v>
          </cell>
          <cell r="BH17">
            <v>3</v>
          </cell>
          <cell r="BI17">
            <v>54</v>
          </cell>
          <cell r="BJ17">
            <v>44</v>
          </cell>
          <cell r="BL17" t="str">
            <v>-</v>
          </cell>
          <cell r="BM17" t="str">
            <v>BO QUESTEMBERT 2</v>
          </cell>
          <cell r="BN17">
            <v>15.000002994249906</v>
          </cell>
          <cell r="BO17">
            <v>7</v>
          </cell>
          <cell r="BP17">
            <v>4</v>
          </cell>
          <cell r="BQ17">
            <v>0</v>
          </cell>
          <cell r="BR17">
            <v>3</v>
          </cell>
          <cell r="BS17">
            <v>53</v>
          </cell>
          <cell r="BT17">
            <v>45</v>
          </cell>
          <cell r="BV17" t="str">
            <v>94 doubles gagnés sur 190 disputés (49,5 %)</v>
          </cell>
          <cell r="BY17">
            <v>3.9204599767019713E-5</v>
          </cell>
          <cell r="BZ17" t="str">
            <v/>
          </cell>
          <cell r="CA17">
            <v>1.0000464900801869</v>
          </cell>
          <cell r="CB17" t="str">
            <v>Colombel Guy</v>
          </cell>
          <cell r="CC17">
            <v>8.9979467764755465E-5</v>
          </cell>
          <cell r="CD17" t="str">
            <v/>
          </cell>
          <cell r="CE17">
            <v>4.0000243425755873</v>
          </cell>
          <cell r="CF17" t="str">
            <v>Colombel Guy</v>
          </cell>
          <cell r="CG17">
            <v>8.7386208647685697E-5</v>
          </cell>
          <cell r="CH17" t="str">
            <v/>
          </cell>
          <cell r="CI17">
            <v>2.1359813114791928E-5</v>
          </cell>
          <cell r="CJ17" t="str">
            <v/>
          </cell>
          <cell r="CK17">
            <v>2.2922391521760557E-5</v>
          </cell>
          <cell r="CL17" t="str">
            <v/>
          </cell>
          <cell r="CM17">
            <v>4.0130093749562628E-5</v>
          </cell>
          <cell r="CN17" t="str">
            <v/>
          </cell>
          <cell r="CP17">
            <v>8.0006189026761714</v>
          </cell>
          <cell r="CQ17">
            <v>0</v>
          </cell>
          <cell r="CR17">
            <v>0</v>
          </cell>
          <cell r="CS17">
            <v>3</v>
          </cell>
          <cell r="CT17">
            <v>0</v>
          </cell>
          <cell r="CU17">
            <v>3</v>
          </cell>
          <cell r="CV17">
            <v>0</v>
          </cell>
          <cell r="CW17">
            <v>3</v>
          </cell>
          <cell r="CX17">
            <v>3</v>
          </cell>
          <cell r="CY17">
            <v>3</v>
          </cell>
          <cell r="CZ17">
            <v>3</v>
          </cell>
          <cell r="DA17">
            <v>0</v>
          </cell>
          <cell r="DB17">
            <v>3</v>
          </cell>
          <cell r="DC17">
            <v>3</v>
          </cell>
          <cell r="DD17">
            <v>0</v>
          </cell>
          <cell r="DE17">
            <v>15</v>
          </cell>
          <cell r="DG17">
            <v>29</v>
          </cell>
          <cell r="DH17">
            <v>0.51732354562501748</v>
          </cell>
          <cell r="DJ17">
            <v>29.788612998606844</v>
          </cell>
          <cell r="DK17" t="str">
            <v>Colombel Guy</v>
          </cell>
        </row>
        <row r="18">
          <cell r="A18" t="str">
            <v>Baudais Luc</v>
          </cell>
          <cell r="B18">
            <v>4</v>
          </cell>
          <cell r="C18">
            <v>4</v>
          </cell>
          <cell r="D18">
            <v>4</v>
          </cell>
          <cell r="E18">
            <v>4</v>
          </cell>
          <cell r="F18">
            <v>4</v>
          </cell>
          <cell r="G18">
            <v>4</v>
          </cell>
          <cell r="H18">
            <v>4</v>
          </cell>
          <cell r="I18">
            <v>4</v>
          </cell>
          <cell r="J18">
            <v>4</v>
          </cell>
          <cell r="K18">
            <v>4</v>
          </cell>
          <cell r="L18">
            <v>4</v>
          </cell>
          <cell r="M18">
            <v>4</v>
          </cell>
          <cell r="N18">
            <v>4</v>
          </cell>
          <cell r="O18">
            <v>4</v>
          </cell>
          <cell r="P18">
            <v>4</v>
          </cell>
          <cell r="Q18">
            <v>0</v>
          </cell>
          <cell r="R18">
            <v>1</v>
          </cell>
          <cell r="S18">
            <v>1</v>
          </cell>
          <cell r="T18">
            <v>0</v>
          </cell>
          <cell r="U18">
            <v>0</v>
          </cell>
          <cell r="V18">
            <v>0</v>
          </cell>
          <cell r="W18">
            <v>3</v>
          </cell>
          <cell r="X18">
            <v>2</v>
          </cell>
          <cell r="Y18">
            <v>2</v>
          </cell>
          <cell r="Z18">
            <v>2</v>
          </cell>
          <cell r="AA18">
            <v>1</v>
          </cell>
          <cell r="AB18">
            <v>1</v>
          </cell>
          <cell r="AC18">
            <v>2</v>
          </cell>
          <cell r="AD18">
            <v>2</v>
          </cell>
          <cell r="AE18">
            <v>14</v>
          </cell>
          <cell r="AF18">
            <v>5</v>
          </cell>
          <cell r="AG18">
            <v>21</v>
          </cell>
          <cell r="AH18">
            <v>0.23810397087865637</v>
          </cell>
          <cell r="AI18">
            <v>12</v>
          </cell>
          <cell r="AJ18">
            <v>21</v>
          </cell>
          <cell r="AK18">
            <v>0.57143370865250787</v>
          </cell>
          <cell r="AL18">
            <v>17</v>
          </cell>
          <cell r="AM18">
            <v>42</v>
          </cell>
          <cell r="AN18">
            <v>0.40476210215379915</v>
          </cell>
          <cell r="AO18">
            <v>4.0047781352839928</v>
          </cell>
          <cell r="AP18">
            <v>4.0076931742144568</v>
          </cell>
          <cell r="AQ18">
            <v>4.0047730550181608</v>
          </cell>
          <cell r="AR18">
            <v>4.0018475594727434</v>
          </cell>
          <cell r="AS18">
            <v>4.007300504598315</v>
          </cell>
          <cell r="AT18">
            <v>4.004908474653484</v>
          </cell>
          <cell r="AU18">
            <v>4.0041135319715551</v>
          </cell>
          <cell r="AV18">
            <v>4.0062598601918396</v>
          </cell>
          <cell r="AX18" t="str">
            <v>Baudais Luc</v>
          </cell>
          <cell r="AY18" t="str">
            <v/>
          </cell>
          <cell r="AZ18">
            <v>4</v>
          </cell>
          <cell r="BB18">
            <v>5</v>
          </cell>
          <cell r="BC18" t="str">
            <v>FC ST-RAOUL 1</v>
          </cell>
          <cell r="BD18">
            <v>13.000091142473766</v>
          </cell>
          <cell r="BE18">
            <v>7</v>
          </cell>
          <cell r="BF18">
            <v>3</v>
          </cell>
          <cell r="BG18">
            <v>0</v>
          </cell>
          <cell r="BH18">
            <v>4</v>
          </cell>
          <cell r="BI18">
            <v>47</v>
          </cell>
          <cell r="BJ18">
            <v>51</v>
          </cell>
          <cell r="BL18">
            <v>5</v>
          </cell>
          <cell r="BM18" t="str">
            <v>ASPTT VANNES 4</v>
          </cell>
          <cell r="BN18">
            <v>14.000007449119323</v>
          </cell>
          <cell r="BO18">
            <v>7</v>
          </cell>
          <cell r="BP18">
            <v>3</v>
          </cell>
          <cell r="BQ18">
            <v>1</v>
          </cell>
          <cell r="BR18">
            <v>3</v>
          </cell>
          <cell r="BS18">
            <v>49</v>
          </cell>
          <cell r="BT18">
            <v>49</v>
          </cell>
          <cell r="BV18">
            <v>0</v>
          </cell>
          <cell r="BY18">
            <v>9.8430887887843195E-5</v>
          </cell>
          <cell r="BZ18" t="str">
            <v/>
          </cell>
          <cell r="CA18">
            <v>8.3731768214282594E-5</v>
          </cell>
          <cell r="CB18" t="str">
            <v/>
          </cell>
          <cell r="CC18">
            <v>8.6606607635406527E-5</v>
          </cell>
          <cell r="CD18" t="str">
            <v/>
          </cell>
          <cell r="CE18">
            <v>7.0000239823484236</v>
          </cell>
          <cell r="CF18" t="str">
            <v>Baudais Luc</v>
          </cell>
          <cell r="CG18">
            <v>8.2586026795047638E-5</v>
          </cell>
          <cell r="CH18" t="str">
            <v/>
          </cell>
          <cell r="CI18">
            <v>9.3508771288427467E-5</v>
          </cell>
          <cell r="CJ18" t="str">
            <v/>
          </cell>
          <cell r="CK18">
            <v>7.1187950887151795E-5</v>
          </cell>
          <cell r="CL18" t="str">
            <v/>
          </cell>
          <cell r="CM18">
            <v>6.3104563716309984E-5</v>
          </cell>
          <cell r="CN18" t="str">
            <v/>
          </cell>
          <cell r="CP18">
            <v>14.008783730786007</v>
          </cell>
          <cell r="CQ18">
            <v>3</v>
          </cell>
          <cell r="CR18">
            <v>3</v>
          </cell>
          <cell r="CS18">
            <v>3</v>
          </cell>
          <cell r="CT18">
            <v>3</v>
          </cell>
          <cell r="CU18">
            <v>3</v>
          </cell>
          <cell r="CV18">
            <v>3</v>
          </cell>
          <cell r="CW18">
            <v>3</v>
          </cell>
          <cell r="CX18">
            <v>3</v>
          </cell>
          <cell r="CY18">
            <v>3</v>
          </cell>
          <cell r="CZ18">
            <v>3</v>
          </cell>
          <cell r="DA18">
            <v>3</v>
          </cell>
          <cell r="DB18">
            <v>3</v>
          </cell>
          <cell r="DC18">
            <v>3</v>
          </cell>
          <cell r="DD18">
            <v>3</v>
          </cell>
          <cell r="DE18">
            <v>20</v>
          </cell>
          <cell r="DG18">
            <v>49</v>
          </cell>
          <cell r="DH18">
            <v>0.40825363107661539</v>
          </cell>
          <cell r="DJ18">
            <v>49.788678028525588</v>
          </cell>
          <cell r="DK18" t="str">
            <v>Baudais Luc</v>
          </cell>
        </row>
        <row r="19">
          <cell r="A19" t="str">
            <v>Vilain Benjamin</v>
          </cell>
          <cell r="B19">
            <v>5</v>
          </cell>
          <cell r="C19">
            <v>4</v>
          </cell>
          <cell r="E19">
            <v>4</v>
          </cell>
          <cell r="F19">
            <v>4</v>
          </cell>
          <cell r="G19">
            <v>4</v>
          </cell>
          <cell r="H19">
            <v>4</v>
          </cell>
          <cell r="I19">
            <v>4</v>
          </cell>
          <cell r="K19">
            <v>5</v>
          </cell>
          <cell r="L19">
            <v>5</v>
          </cell>
          <cell r="M19">
            <v>5</v>
          </cell>
          <cell r="N19">
            <v>5</v>
          </cell>
          <cell r="O19">
            <v>3</v>
          </cell>
          <cell r="P19">
            <v>5</v>
          </cell>
          <cell r="Q19">
            <v>2</v>
          </cell>
          <cell r="S19">
            <v>0</v>
          </cell>
          <cell r="T19">
            <v>3</v>
          </cell>
          <cell r="U19">
            <v>1</v>
          </cell>
          <cell r="V19">
            <v>1</v>
          </cell>
          <cell r="W19">
            <v>1</v>
          </cell>
          <cell r="Y19">
            <v>3</v>
          </cell>
          <cell r="Z19">
            <v>1</v>
          </cell>
          <cell r="AA19">
            <v>3</v>
          </cell>
          <cell r="AB19">
            <v>1</v>
          </cell>
          <cell r="AC19">
            <v>3</v>
          </cell>
          <cell r="AD19">
            <v>3</v>
          </cell>
          <cell r="AE19">
            <v>12</v>
          </cell>
          <cell r="AF19">
            <v>8</v>
          </cell>
          <cell r="AG19">
            <v>18</v>
          </cell>
          <cell r="AH19">
            <v>0.44445040495625665</v>
          </cell>
          <cell r="AI19">
            <v>14</v>
          </cell>
          <cell r="AJ19">
            <v>18</v>
          </cell>
          <cell r="AK19">
            <v>0.77777921340823875</v>
          </cell>
          <cell r="AL19">
            <v>22</v>
          </cell>
          <cell r="AM19">
            <v>36</v>
          </cell>
          <cell r="AN19">
            <v>0.61111373548528236</v>
          </cell>
          <cell r="AO19">
            <v>5.0065760013774616</v>
          </cell>
          <cell r="AP19" t="str">
            <v>e</v>
          </cell>
          <cell r="AQ19">
            <v>5.0071698558916005</v>
          </cell>
          <cell r="AR19">
            <v>5.0055955059929031</v>
          </cell>
          <cell r="AS19">
            <v>5.0060005185103673</v>
          </cell>
          <cell r="AT19">
            <v>5.0031986059449522</v>
          </cell>
          <cell r="AU19">
            <v>3.0021484007807837</v>
          </cell>
          <cell r="AV19">
            <v>5.0089222240287645</v>
          </cell>
          <cell r="AX19" t="str">
            <v>Vilain Benjamin</v>
          </cell>
          <cell r="AY19" t="str">
            <v/>
          </cell>
          <cell r="AZ19">
            <v>5</v>
          </cell>
          <cell r="BB19" t="str">
            <v>-</v>
          </cell>
          <cell r="BC19" t="str">
            <v>JA PLEUCADEUC 1</v>
          </cell>
          <cell r="BD19">
            <v>13.000072455365814</v>
          </cell>
          <cell r="BE19">
            <v>7</v>
          </cell>
          <cell r="BF19">
            <v>3</v>
          </cell>
          <cell r="BG19">
            <v>0</v>
          </cell>
          <cell r="BH19">
            <v>4</v>
          </cell>
          <cell r="BI19">
            <v>38</v>
          </cell>
          <cell r="BJ19">
            <v>60</v>
          </cell>
          <cell r="BL19">
            <v>6</v>
          </cell>
          <cell r="BM19" t="str">
            <v>AO ST-NOLFF 1</v>
          </cell>
          <cell r="BN19">
            <v>13.000034602274029</v>
          </cell>
          <cell r="BO19">
            <v>7</v>
          </cell>
          <cell r="BP19">
            <v>3</v>
          </cell>
          <cell r="BQ19">
            <v>0</v>
          </cell>
          <cell r="BR19">
            <v>4</v>
          </cell>
          <cell r="BS19">
            <v>45</v>
          </cell>
          <cell r="BT19">
            <v>53</v>
          </cell>
          <cell r="BV19" t="str">
            <v>4 joueurs ont disputé toutes les journées.</v>
          </cell>
          <cell r="BY19">
            <v>3.1394198526761251E-5</v>
          </cell>
          <cell r="BZ19" t="str">
            <v/>
          </cell>
          <cell r="CA19">
            <v>1.4960100732439719E-5</v>
          </cell>
          <cell r="CB19" t="str">
            <v/>
          </cell>
          <cell r="CC19">
            <v>1.0000930509572372</v>
          </cell>
          <cell r="CD19" t="str">
            <v>Vilain Benjamin</v>
          </cell>
          <cell r="CE19">
            <v>9.2871115720196391E-5</v>
          </cell>
          <cell r="CF19" t="str">
            <v/>
          </cell>
          <cell r="CG19">
            <v>5.0000379139602176</v>
          </cell>
          <cell r="CH19" t="str">
            <v>Vilain Benjamin</v>
          </cell>
          <cell r="CI19">
            <v>4.9834548190347361E-5</v>
          </cell>
          <cell r="CJ19" t="str">
            <v/>
          </cell>
          <cell r="CK19">
            <v>3.4634912109370529E-5</v>
          </cell>
          <cell r="CL19" t="str">
            <v/>
          </cell>
          <cell r="CM19">
            <v>7.8927898468302238E-5</v>
          </cell>
          <cell r="CN19" t="str">
            <v/>
          </cell>
          <cell r="CP19">
            <v>12.000691199812582</v>
          </cell>
          <cell r="CQ19">
            <v>3</v>
          </cell>
          <cell r="CR19">
            <v>0</v>
          </cell>
          <cell r="CS19">
            <v>3</v>
          </cell>
          <cell r="CT19">
            <v>3</v>
          </cell>
          <cell r="CU19">
            <v>3</v>
          </cell>
          <cell r="CV19">
            <v>3</v>
          </cell>
          <cell r="CW19">
            <v>3</v>
          </cell>
          <cell r="CX19">
            <v>0</v>
          </cell>
          <cell r="CY19">
            <v>3</v>
          </cell>
          <cell r="CZ19">
            <v>3</v>
          </cell>
          <cell r="DA19">
            <v>3</v>
          </cell>
          <cell r="DB19">
            <v>3</v>
          </cell>
          <cell r="DC19">
            <v>3</v>
          </cell>
          <cell r="DD19">
            <v>3</v>
          </cell>
          <cell r="DE19">
            <v>23</v>
          </cell>
          <cell r="DG19">
            <v>42</v>
          </cell>
          <cell r="DH19">
            <v>0.54764811585465212</v>
          </cell>
          <cell r="DJ19">
            <v>42.180619818319656</v>
          </cell>
          <cell r="DK19" t="str">
            <v>Vilain Benjamin</v>
          </cell>
        </row>
        <row r="20">
          <cell r="A20" t="str">
            <v>Le Cam Alan</v>
          </cell>
          <cell r="B20">
            <v>5</v>
          </cell>
          <cell r="D20">
            <v>6</v>
          </cell>
          <cell r="F20">
            <v>6</v>
          </cell>
          <cell r="H20">
            <v>6</v>
          </cell>
          <cell r="I20">
            <v>6</v>
          </cell>
          <cell r="J20">
            <v>5</v>
          </cell>
          <cell r="K20">
            <v>5</v>
          </cell>
          <cell r="L20">
            <v>5</v>
          </cell>
          <cell r="N20">
            <v>5</v>
          </cell>
          <cell r="O20">
            <v>5</v>
          </cell>
          <cell r="P20">
            <v>5</v>
          </cell>
          <cell r="R20">
            <v>2</v>
          </cell>
          <cell r="T20">
            <v>3</v>
          </cell>
          <cell r="V20">
            <v>3</v>
          </cell>
          <cell r="W20">
            <v>3</v>
          </cell>
          <cell r="X20">
            <v>3</v>
          </cell>
          <cell r="Y20">
            <v>0</v>
          </cell>
          <cell r="Z20">
            <v>0</v>
          </cell>
          <cell r="AB20">
            <v>2</v>
          </cell>
          <cell r="AC20">
            <v>2</v>
          </cell>
          <cell r="AD20">
            <v>0</v>
          </cell>
          <cell r="AE20">
            <v>10</v>
          </cell>
          <cell r="AF20">
            <v>11</v>
          </cell>
          <cell r="AG20">
            <v>12</v>
          </cell>
          <cell r="AH20">
            <v>0.91666724291253088</v>
          </cell>
          <cell r="AI20">
            <v>7</v>
          </cell>
          <cell r="AJ20">
            <v>18</v>
          </cell>
          <cell r="AK20">
            <v>0.38889441666133734</v>
          </cell>
          <cell r="AL20">
            <v>18</v>
          </cell>
          <cell r="AM20">
            <v>30</v>
          </cell>
          <cell r="AN20">
            <v>0.60000716510796348</v>
          </cell>
          <cell r="AO20">
            <v>5.0047652839368624</v>
          </cell>
          <cell r="AP20">
            <v>5.0074123897116181</v>
          </cell>
          <cell r="AQ20">
            <v>5.007574800932904</v>
          </cell>
          <cell r="AR20">
            <v>5.0001599957111393</v>
          </cell>
          <cell r="AS20" t="str">
            <v>e</v>
          </cell>
          <cell r="AT20">
            <v>5.0015563584195055</v>
          </cell>
          <cell r="AU20">
            <v>5.0022019907825639</v>
          </cell>
          <cell r="AV20">
            <v>5.009500042150294</v>
          </cell>
          <cell r="AX20" t="str">
            <v>Le Cam Alan</v>
          </cell>
          <cell r="AY20" t="str">
            <v/>
          </cell>
          <cell r="AZ20">
            <v>5</v>
          </cell>
          <cell r="BB20">
            <v>7</v>
          </cell>
          <cell r="BC20" t="str">
            <v>ARGOET STT 1</v>
          </cell>
          <cell r="BD20">
            <v>10.000038630929819</v>
          </cell>
          <cell r="BE20">
            <v>7</v>
          </cell>
          <cell r="BF20">
            <v>1</v>
          </cell>
          <cell r="BG20">
            <v>1</v>
          </cell>
          <cell r="BH20">
            <v>5</v>
          </cell>
          <cell r="BI20">
            <v>40</v>
          </cell>
          <cell r="BJ20">
            <v>58</v>
          </cell>
          <cell r="BL20">
            <v>7</v>
          </cell>
          <cell r="BM20" t="str">
            <v>MUZILLAC TT 4</v>
          </cell>
          <cell r="BN20">
            <v>12.000071735061708</v>
          </cell>
          <cell r="BO20">
            <v>7</v>
          </cell>
          <cell r="BP20">
            <v>2</v>
          </cell>
          <cell r="BQ20">
            <v>1</v>
          </cell>
          <cell r="BR20">
            <v>4</v>
          </cell>
          <cell r="BS20">
            <v>51</v>
          </cell>
          <cell r="BT20">
            <v>47</v>
          </cell>
          <cell r="BV20" t="str">
            <v>42 joueurs ont participé au moins à une rencontre.</v>
          </cell>
          <cell r="BY20">
            <v>8.9595026815771143E-6</v>
          </cell>
          <cell r="BZ20" t="str">
            <v/>
          </cell>
          <cell r="CA20">
            <v>2.7264045518018721E-5</v>
          </cell>
          <cell r="CB20" t="str">
            <v/>
          </cell>
          <cell r="CC20">
            <v>8.618837116952225E-5</v>
          </cell>
          <cell r="CD20" t="str">
            <v/>
          </cell>
          <cell r="CE20">
            <v>5.577621059883903E-5</v>
          </cell>
          <cell r="CF20" t="str">
            <v/>
          </cell>
          <cell r="CG20">
            <v>6.000038919680005</v>
          </cell>
          <cell r="CH20" t="str">
            <v>Le Cam Alan</v>
          </cell>
          <cell r="CI20">
            <v>6.2924811042451998E-5</v>
          </cell>
          <cell r="CJ20" t="str">
            <v/>
          </cell>
          <cell r="CK20">
            <v>6.1499328897347672E-5</v>
          </cell>
          <cell r="CL20" t="str">
            <v/>
          </cell>
          <cell r="CM20">
            <v>3.25044063427874E-5</v>
          </cell>
          <cell r="CN20" t="str">
            <v/>
          </cell>
          <cell r="CP20">
            <v>10.00043801967437</v>
          </cell>
          <cell r="CQ20">
            <v>0</v>
          </cell>
          <cell r="CR20">
            <v>3</v>
          </cell>
          <cell r="CS20">
            <v>0</v>
          </cell>
          <cell r="CT20">
            <v>3</v>
          </cell>
          <cell r="CU20">
            <v>0</v>
          </cell>
          <cell r="CV20">
            <v>3</v>
          </cell>
          <cell r="CW20">
            <v>3</v>
          </cell>
          <cell r="CX20">
            <v>3</v>
          </cell>
          <cell r="CY20">
            <v>3</v>
          </cell>
          <cell r="CZ20">
            <v>3</v>
          </cell>
          <cell r="DA20">
            <v>0</v>
          </cell>
          <cell r="DB20">
            <v>3</v>
          </cell>
          <cell r="DC20">
            <v>3</v>
          </cell>
          <cell r="DD20">
            <v>3</v>
          </cell>
          <cell r="DE20">
            <v>18</v>
          </cell>
          <cell r="DG20">
            <v>30</v>
          </cell>
          <cell r="DH20">
            <v>0.60005445504605526</v>
          </cell>
          <cell r="DJ20">
            <v>30.394830846549532</v>
          </cell>
          <cell r="DK20" t="str">
            <v>Le Cam Alan</v>
          </cell>
        </row>
        <row r="21">
          <cell r="A21" t="str">
            <v>Morin Léa</v>
          </cell>
          <cell r="B21">
            <v>5</v>
          </cell>
          <cell r="C21">
            <v>8</v>
          </cell>
          <cell r="D21">
            <v>8</v>
          </cell>
          <cell r="E21">
            <v>8</v>
          </cell>
          <cell r="F21">
            <v>8</v>
          </cell>
          <cell r="G21">
            <v>8</v>
          </cell>
          <cell r="H21">
            <v>8</v>
          </cell>
          <cell r="I21">
            <v>8</v>
          </cell>
          <cell r="J21">
            <v>5</v>
          </cell>
          <cell r="K21">
            <v>5</v>
          </cell>
          <cell r="L21">
            <v>3</v>
          </cell>
          <cell r="M21">
            <v>5</v>
          </cell>
          <cell r="N21">
            <v>5</v>
          </cell>
          <cell r="O21">
            <v>5</v>
          </cell>
          <cell r="P21">
            <v>4</v>
          </cell>
          <cell r="Q21">
            <v>2</v>
          </cell>
          <cell r="R21">
            <v>0</v>
          </cell>
          <cell r="S21">
            <v>0</v>
          </cell>
          <cell r="T21">
            <v>0</v>
          </cell>
          <cell r="U21">
            <v>0</v>
          </cell>
          <cell r="V21">
            <v>0</v>
          </cell>
          <cell r="W21">
            <v>1</v>
          </cell>
          <cell r="X21">
            <v>3</v>
          </cell>
          <cell r="Y21">
            <v>1</v>
          </cell>
          <cell r="Z21">
            <v>1</v>
          </cell>
          <cell r="AA21">
            <v>3</v>
          </cell>
          <cell r="AB21">
            <v>2</v>
          </cell>
          <cell r="AC21">
            <v>2</v>
          </cell>
          <cell r="AD21">
            <v>1</v>
          </cell>
          <cell r="AE21">
            <v>14</v>
          </cell>
          <cell r="AF21">
            <v>3</v>
          </cell>
          <cell r="AG21">
            <v>21</v>
          </cell>
          <cell r="AH21">
            <v>0.14286652876202879</v>
          </cell>
          <cell r="AI21">
            <v>13</v>
          </cell>
          <cell r="AJ21">
            <v>21</v>
          </cell>
          <cell r="AK21">
            <v>0.61905272701781977</v>
          </cell>
          <cell r="AL21">
            <v>16</v>
          </cell>
          <cell r="AM21">
            <v>42</v>
          </cell>
          <cell r="AN21">
            <v>0.38096083766343919</v>
          </cell>
          <cell r="AO21">
            <v>5.000980324097644</v>
          </cell>
          <cell r="AP21">
            <v>5.0023767772359102</v>
          </cell>
          <cell r="AQ21">
            <v>5.0020095331726981</v>
          </cell>
          <cell r="AR21">
            <v>3.0051365894676656</v>
          </cell>
          <cell r="AS21">
            <v>5.0058680127771682</v>
          </cell>
          <cell r="AT21">
            <v>5.000153008853192</v>
          </cell>
          <cell r="AU21">
            <v>5.0037216186794806</v>
          </cell>
          <cell r="AV21">
            <v>4.0027811268437778</v>
          </cell>
          <cell r="AX21" t="str">
            <v>Morin Léa</v>
          </cell>
          <cell r="AY21" t="str">
            <v/>
          </cell>
          <cell r="AZ21">
            <v>5</v>
          </cell>
          <cell r="BB21">
            <v>8</v>
          </cell>
          <cell r="BC21" t="str">
            <v>ASPTT VANNES 6</v>
          </cell>
          <cell r="BD21">
            <v>7.0000044224188889</v>
          </cell>
          <cell r="BE21">
            <v>7</v>
          </cell>
          <cell r="BF21">
            <v>0</v>
          </cell>
          <cell r="BG21">
            <v>0</v>
          </cell>
          <cell r="BH21">
            <v>7</v>
          </cell>
          <cell r="BI21">
            <v>17</v>
          </cell>
          <cell r="BJ21">
            <v>81</v>
          </cell>
          <cell r="BL21">
            <v>8</v>
          </cell>
          <cell r="BM21" t="str">
            <v>RAQ GUEGON 1</v>
          </cell>
          <cell r="BN21">
            <v>11.000097049197528</v>
          </cell>
          <cell r="BO21">
            <v>7</v>
          </cell>
          <cell r="BP21">
            <v>2</v>
          </cell>
          <cell r="BQ21">
            <v>0</v>
          </cell>
          <cell r="BR21">
            <v>5</v>
          </cell>
          <cell r="BS21">
            <v>35</v>
          </cell>
          <cell r="BT21">
            <v>63</v>
          </cell>
          <cell r="BY21">
            <v>9.2804863314707199E-5</v>
          </cell>
          <cell r="BZ21" t="str">
            <v/>
          </cell>
          <cell r="CA21">
            <v>7.6463601235725217E-5</v>
          </cell>
          <cell r="CB21" t="str">
            <v/>
          </cell>
          <cell r="CC21">
            <v>1.0000930542761632</v>
          </cell>
          <cell r="CD21" t="str">
            <v>Morin Léa</v>
          </cell>
          <cell r="CE21">
            <v>1.0000474498260294</v>
          </cell>
          <cell r="CF21" t="str">
            <v>Morin Léa</v>
          </cell>
          <cell r="CG21">
            <v>5.0000658756480139</v>
          </cell>
          <cell r="CH21" t="str">
            <v>Morin Léa</v>
          </cell>
          <cell r="CI21">
            <v>3.7474209102855786E-5</v>
          </cell>
          <cell r="CJ21" t="str">
            <v/>
          </cell>
          <cell r="CK21">
            <v>5.2209815166694597E-5</v>
          </cell>
          <cell r="CL21" t="str">
            <v/>
          </cell>
          <cell r="CM21">
            <v>4.924825060909872E-5</v>
          </cell>
          <cell r="CN21" t="str">
            <v/>
          </cell>
          <cell r="CP21">
            <v>14.004920228515443</v>
          </cell>
          <cell r="CQ21">
            <v>3</v>
          </cell>
          <cell r="CR21">
            <v>3</v>
          </cell>
          <cell r="CS21">
            <v>3</v>
          </cell>
          <cell r="CT21">
            <v>3</v>
          </cell>
          <cell r="CU21">
            <v>3</v>
          </cell>
          <cell r="CV21">
            <v>3</v>
          </cell>
          <cell r="CW21">
            <v>3</v>
          </cell>
          <cell r="CX21">
            <v>3</v>
          </cell>
          <cell r="CY21">
            <v>3</v>
          </cell>
          <cell r="CZ21">
            <v>3</v>
          </cell>
          <cell r="DA21">
            <v>3</v>
          </cell>
          <cell r="DB21">
            <v>3</v>
          </cell>
          <cell r="DC21">
            <v>3</v>
          </cell>
          <cell r="DD21">
            <v>3</v>
          </cell>
          <cell r="DE21">
            <v>42</v>
          </cell>
          <cell r="DG21">
            <v>100</v>
          </cell>
          <cell r="DH21">
            <v>0.42003120445445624</v>
          </cell>
          <cell r="DJ21">
            <v>100.65851505379456</v>
          </cell>
          <cell r="DK21" t="str">
            <v>Morin Léa</v>
          </cell>
        </row>
        <row r="22">
          <cell r="A22" t="str">
            <v>Touche Rémy</v>
          </cell>
          <cell r="B22">
            <v>5</v>
          </cell>
          <cell r="C22">
            <v>6</v>
          </cell>
          <cell r="D22">
            <v>2</v>
          </cell>
          <cell r="E22">
            <v>6</v>
          </cell>
          <cell r="F22">
            <v>6</v>
          </cell>
          <cell r="H22">
            <v>6</v>
          </cell>
          <cell r="I22">
            <v>6</v>
          </cell>
          <cell r="J22">
            <v>5</v>
          </cell>
          <cell r="K22">
            <v>6</v>
          </cell>
          <cell r="L22">
            <v>5</v>
          </cell>
          <cell r="M22">
            <v>5</v>
          </cell>
          <cell r="N22">
            <v>5</v>
          </cell>
          <cell r="O22">
            <v>5</v>
          </cell>
          <cell r="Q22">
            <v>3</v>
          </cell>
          <cell r="R22">
            <v>1</v>
          </cell>
          <cell r="S22">
            <v>3</v>
          </cell>
          <cell r="T22">
            <v>3</v>
          </cell>
          <cell r="V22">
            <v>3</v>
          </cell>
          <cell r="W22">
            <v>3</v>
          </cell>
          <cell r="X22">
            <v>3</v>
          </cell>
          <cell r="Y22">
            <v>3</v>
          </cell>
          <cell r="Z22">
            <v>2</v>
          </cell>
          <cell r="AA22">
            <v>3</v>
          </cell>
          <cell r="AB22">
            <v>1</v>
          </cell>
          <cell r="AC22">
            <v>2</v>
          </cell>
          <cell r="AE22">
            <v>12</v>
          </cell>
          <cell r="AF22">
            <v>16</v>
          </cell>
          <cell r="AG22">
            <v>18</v>
          </cell>
          <cell r="AH22">
            <v>0.88888892362877781</v>
          </cell>
          <cell r="AI22">
            <v>14</v>
          </cell>
          <cell r="AJ22">
            <v>18</v>
          </cell>
          <cell r="AK22">
            <v>0.77777820161640621</v>
          </cell>
          <cell r="AL22">
            <v>30</v>
          </cell>
          <cell r="AM22">
            <v>36</v>
          </cell>
          <cell r="AN22">
            <v>0.83333789547160475</v>
          </cell>
          <cell r="AO22">
            <v>5.000507681962457</v>
          </cell>
          <cell r="AP22">
            <v>5.0091313464707756</v>
          </cell>
          <cell r="AQ22">
            <v>6.0005427220538294</v>
          </cell>
          <cell r="AR22">
            <v>5.0037687363188033</v>
          </cell>
          <cell r="AS22">
            <v>5.0043684553143137</v>
          </cell>
          <cell r="AT22">
            <v>5.0083972195996518</v>
          </cell>
          <cell r="AU22">
            <v>5.0029444559827976</v>
          </cell>
          <cell r="AV22" t="str">
            <v>e</v>
          </cell>
          <cell r="AX22" t="str">
            <v>Touche Rémy</v>
          </cell>
          <cell r="AY22" t="str">
            <v/>
          </cell>
          <cell r="AZ22">
            <v>5</v>
          </cell>
          <cell r="BB22" t="str">
            <v>*</v>
          </cell>
          <cell r="BC22" t="str">
            <v>Déf 9 - 5 contre BO QUESTEMBERT 1</v>
          </cell>
          <cell r="BL22" t="str">
            <v>*</v>
          </cell>
          <cell r="BM22" t="str">
            <v>Nul 7 - 7 contre ASPTT VANNES 4</v>
          </cell>
          <cell r="BY22">
            <v>2.9378653258674526E-5</v>
          </cell>
          <cell r="BZ22" t="str">
            <v/>
          </cell>
          <cell r="CA22">
            <v>8.664887193087979E-6</v>
          </cell>
          <cell r="CB22" t="str">
            <v/>
          </cell>
          <cell r="CC22">
            <v>9.1545712496425227E-5</v>
          </cell>
          <cell r="CD22" t="str">
            <v/>
          </cell>
          <cell r="CE22">
            <v>9.4726711326259072E-5</v>
          </cell>
          <cell r="CF22" t="str">
            <v/>
          </cell>
          <cell r="CG22">
            <v>5.0000968466716182</v>
          </cell>
          <cell r="CH22" t="str">
            <v>Touche Rémy</v>
          </cell>
          <cell r="CI22">
            <v>1.0000363464099378</v>
          </cell>
          <cell r="CJ22" t="str">
            <v>Touche Rémy</v>
          </cell>
          <cell r="CK22">
            <v>4.7547497220952044E-5</v>
          </cell>
          <cell r="CL22" t="str">
            <v/>
          </cell>
          <cell r="CM22">
            <v>9.4681467861980017E-5</v>
          </cell>
          <cell r="CN22" t="str">
            <v/>
          </cell>
          <cell r="CP22">
            <v>12.009769589339538</v>
          </cell>
          <cell r="CQ22">
            <v>3</v>
          </cell>
          <cell r="CR22">
            <v>3</v>
          </cell>
          <cell r="CS22">
            <v>3</v>
          </cell>
          <cell r="CT22">
            <v>3</v>
          </cell>
          <cell r="CU22">
            <v>0</v>
          </cell>
          <cell r="CV22">
            <v>3</v>
          </cell>
          <cell r="CW22">
            <v>3</v>
          </cell>
          <cell r="CX22">
            <v>3</v>
          </cell>
          <cell r="CY22">
            <v>3</v>
          </cell>
          <cell r="CZ22">
            <v>3</v>
          </cell>
          <cell r="DA22">
            <v>3</v>
          </cell>
          <cell r="DB22">
            <v>3</v>
          </cell>
          <cell r="DC22">
            <v>3</v>
          </cell>
          <cell r="DD22">
            <v>0</v>
          </cell>
          <cell r="DE22">
            <v>33</v>
          </cell>
          <cell r="DG22">
            <v>43</v>
          </cell>
          <cell r="DH22">
            <v>0.76745938767799537</v>
          </cell>
          <cell r="DJ22">
            <v>43.246885238279972</v>
          </cell>
          <cell r="DK22" t="str">
            <v>Touche Rémy</v>
          </cell>
        </row>
        <row r="23">
          <cell r="A23" t="str">
            <v>Allano Antoine</v>
          </cell>
          <cell r="B23">
            <v>5</v>
          </cell>
          <cell r="C23">
            <v>6</v>
          </cell>
          <cell r="D23">
            <v>6</v>
          </cell>
          <cell r="E23">
            <v>6</v>
          </cell>
          <cell r="F23">
            <v>6</v>
          </cell>
          <cell r="H23">
            <v>6</v>
          </cell>
          <cell r="J23">
            <v>5</v>
          </cell>
          <cell r="K23">
            <v>5</v>
          </cell>
          <cell r="L23">
            <v>5</v>
          </cell>
          <cell r="M23">
            <v>5</v>
          </cell>
          <cell r="O23">
            <v>5</v>
          </cell>
          <cell r="P23">
            <v>5</v>
          </cell>
          <cell r="Q23">
            <v>2</v>
          </cell>
          <cell r="R23">
            <v>3</v>
          </cell>
          <cell r="S23">
            <v>3</v>
          </cell>
          <cell r="T23">
            <v>2</v>
          </cell>
          <cell r="V23">
            <v>1</v>
          </cell>
          <cell r="X23">
            <v>2</v>
          </cell>
          <cell r="Y23">
            <v>0</v>
          </cell>
          <cell r="Z23">
            <v>0</v>
          </cell>
          <cell r="AA23">
            <v>1</v>
          </cell>
          <cell r="AC23">
            <v>2</v>
          </cell>
          <cell r="AD23">
            <v>1</v>
          </cell>
          <cell r="AE23">
            <v>11</v>
          </cell>
          <cell r="AF23">
            <v>11</v>
          </cell>
          <cell r="AG23">
            <v>15</v>
          </cell>
          <cell r="AH23">
            <v>0.73333829572799958</v>
          </cell>
          <cell r="AI23">
            <v>6</v>
          </cell>
          <cell r="AJ23">
            <v>18</v>
          </cell>
          <cell r="AK23">
            <v>0.33333405895010171</v>
          </cell>
          <cell r="AL23">
            <v>17</v>
          </cell>
          <cell r="AM23">
            <v>33</v>
          </cell>
          <cell r="AN23">
            <v>0.51515959177353354</v>
          </cell>
          <cell r="AO23">
            <v>5.0090262454582541</v>
          </cell>
          <cell r="AP23">
            <v>5.0040658594392999</v>
          </cell>
          <cell r="AQ23">
            <v>5.000796860515953</v>
          </cell>
          <cell r="AR23">
            <v>5.0002658295461133</v>
          </cell>
          <cell r="AS23">
            <v>5.003960054679415</v>
          </cell>
          <cell r="AT23" t="str">
            <v>e</v>
          </cell>
          <cell r="AU23">
            <v>5.0000315355076443</v>
          </cell>
          <cell r="AV23">
            <v>5.0063532317176946</v>
          </cell>
          <cell r="AX23" t="str">
            <v>Allano Antoine</v>
          </cell>
          <cell r="AY23" t="str">
            <v/>
          </cell>
          <cell r="AZ23">
            <v>5</v>
          </cell>
          <cell r="BB23" t="str">
            <v>Défaique logique face aux grands favoris</v>
          </cell>
          <cell r="BL23" t="str">
            <v>Un résultat poszitif synonyme de maintien</v>
          </cell>
          <cell r="BY23">
            <v>2.3369814678995085E-5</v>
          </cell>
          <cell r="BZ23" t="str">
            <v/>
          </cell>
          <cell r="CA23">
            <v>9.2629406218380829E-5</v>
          </cell>
          <cell r="CB23" t="str">
            <v/>
          </cell>
          <cell r="CC23">
            <v>6.632132375000939E-5</v>
          </cell>
          <cell r="CD23" t="str">
            <v/>
          </cell>
          <cell r="CE23">
            <v>3.3475482043232585E-7</v>
          </cell>
          <cell r="CF23" t="str">
            <v/>
          </cell>
          <cell r="CG23">
            <v>6.0000622026249424</v>
          </cell>
          <cell r="CH23" t="str">
            <v>Allano Antoine</v>
          </cell>
          <cell r="CI23">
            <v>9.7982266302689235E-5</v>
          </cell>
          <cell r="CJ23" t="str">
            <v/>
          </cell>
          <cell r="CK23">
            <v>7.0701630470386726E-5</v>
          </cell>
          <cell r="CL23" t="str">
            <v/>
          </cell>
          <cell r="CM23">
            <v>9.6602942420159009E-5</v>
          </cell>
          <cell r="CN23" t="str">
            <v/>
          </cell>
          <cell r="CP23">
            <v>11.002183178134013</v>
          </cell>
          <cell r="CQ23">
            <v>3</v>
          </cell>
          <cell r="CR23">
            <v>3</v>
          </cell>
          <cell r="CS23">
            <v>3</v>
          </cell>
          <cell r="CT23">
            <v>3</v>
          </cell>
          <cell r="CU23">
            <v>0</v>
          </cell>
          <cell r="CV23">
            <v>3</v>
          </cell>
          <cell r="CW23">
            <v>0</v>
          </cell>
          <cell r="CX23">
            <v>3</v>
          </cell>
          <cell r="CY23">
            <v>3</v>
          </cell>
          <cell r="CZ23">
            <v>3</v>
          </cell>
          <cell r="DA23">
            <v>3</v>
          </cell>
          <cell r="DB23">
            <v>0</v>
          </cell>
          <cell r="DC23">
            <v>3</v>
          </cell>
          <cell r="DD23">
            <v>3</v>
          </cell>
          <cell r="DE23">
            <v>28</v>
          </cell>
          <cell r="DG23">
            <v>57</v>
          </cell>
          <cell r="DH23">
            <v>0.49131089903658681</v>
          </cell>
          <cell r="DJ23">
            <v>57.853510307468767</v>
          </cell>
          <cell r="DK23" t="str">
            <v>Allano Antoine</v>
          </cell>
        </row>
        <row r="24">
          <cell r="A24" t="str">
            <v>Dayot Franck</v>
          </cell>
          <cell r="B24">
            <v>6</v>
          </cell>
          <cell r="C24">
            <v>5</v>
          </cell>
          <cell r="D24">
            <v>5</v>
          </cell>
          <cell r="E24">
            <v>5</v>
          </cell>
          <cell r="G24">
            <v>5</v>
          </cell>
          <cell r="H24">
            <v>5</v>
          </cell>
          <cell r="I24">
            <v>5</v>
          </cell>
          <cell r="J24">
            <v>6</v>
          </cell>
          <cell r="K24">
            <v>6</v>
          </cell>
          <cell r="L24">
            <v>6</v>
          </cell>
          <cell r="M24">
            <v>6</v>
          </cell>
          <cell r="N24">
            <v>6</v>
          </cell>
          <cell r="O24">
            <v>6</v>
          </cell>
          <cell r="P24">
            <v>6</v>
          </cell>
          <cell r="Q24">
            <v>2</v>
          </cell>
          <cell r="R24">
            <v>3</v>
          </cell>
          <cell r="S24">
            <v>1</v>
          </cell>
          <cell r="U24">
            <v>3</v>
          </cell>
          <cell r="V24">
            <v>3</v>
          </cell>
          <cell r="W24">
            <v>2</v>
          </cell>
          <cell r="X24">
            <v>3</v>
          </cell>
          <cell r="Y24">
            <v>2</v>
          </cell>
          <cell r="Z24">
            <v>3</v>
          </cell>
          <cell r="AA24">
            <v>3</v>
          </cell>
          <cell r="AB24">
            <v>2</v>
          </cell>
          <cell r="AC24">
            <v>2</v>
          </cell>
          <cell r="AD24">
            <v>1</v>
          </cell>
          <cell r="AE24">
            <v>13</v>
          </cell>
          <cell r="AF24">
            <v>14</v>
          </cell>
          <cell r="AG24">
            <v>18</v>
          </cell>
          <cell r="AH24">
            <v>0.77778422758170029</v>
          </cell>
          <cell r="AI24">
            <v>16</v>
          </cell>
          <cell r="AJ24">
            <v>21</v>
          </cell>
          <cell r="AK24">
            <v>0.76191124655877251</v>
          </cell>
          <cell r="AL24">
            <v>30</v>
          </cell>
          <cell r="AM24">
            <v>39</v>
          </cell>
          <cell r="AN24">
            <v>0.76923583407628049</v>
          </cell>
          <cell r="AO24">
            <v>6.0026890590236315</v>
          </cell>
          <cell r="AP24">
            <v>6.0007585507629013</v>
          </cell>
          <cell r="AQ24">
            <v>6.0013928362198143</v>
          </cell>
          <cell r="AR24">
            <v>6.0011198941020281</v>
          </cell>
          <cell r="AS24">
            <v>6.0003980366984795</v>
          </cell>
          <cell r="AT24">
            <v>6.0014316671361811</v>
          </cell>
          <cell r="AU24">
            <v>6.0028955875112038</v>
          </cell>
          <cell r="AV24">
            <v>6.0065915826595111</v>
          </cell>
          <cell r="AX24" t="str">
            <v>Dayot Franck</v>
          </cell>
          <cell r="AY24" t="str">
            <v/>
          </cell>
          <cell r="AZ24">
            <v>6</v>
          </cell>
          <cell r="BB24" t="str">
            <v>Clt</v>
          </cell>
          <cell r="BC24" t="str">
            <v>MTT 5:  D3    E</v>
          </cell>
          <cell r="BD24" t="str">
            <v>Pts</v>
          </cell>
          <cell r="BE24" t="str">
            <v>Joués</v>
          </cell>
          <cell r="BF24" t="str">
            <v>vic</v>
          </cell>
          <cell r="BG24" t="str">
            <v>nul</v>
          </cell>
          <cell r="BH24" t="str">
            <v>déf</v>
          </cell>
          <cell r="BI24" t="str">
            <v>PG</v>
          </cell>
          <cell r="BJ24" t="str">
            <v>PP</v>
          </cell>
          <cell r="BL24" t="str">
            <v>Clt</v>
          </cell>
          <cell r="BM24" t="str">
            <v>MTT 6:  D3    G</v>
          </cell>
          <cell r="BN24" t="str">
            <v>Pts</v>
          </cell>
          <cell r="BO24" t="str">
            <v>Joués</v>
          </cell>
          <cell r="BP24" t="str">
            <v>vict</v>
          </cell>
          <cell r="BQ24" t="str">
            <v>nul</v>
          </cell>
          <cell r="BR24" t="str">
            <v>déf</v>
          </cell>
          <cell r="BS24" t="str">
            <v>PG</v>
          </cell>
          <cell r="BT24" t="str">
            <v>PP</v>
          </cell>
          <cell r="BY24">
            <v>3.4554053802775354E-5</v>
          </cell>
          <cell r="BZ24" t="str">
            <v/>
          </cell>
          <cell r="CA24">
            <v>5.0811864182686699E-5</v>
          </cell>
          <cell r="CB24" t="str">
            <v/>
          </cell>
          <cell r="CC24">
            <v>9.8376661630202538E-5</v>
          </cell>
          <cell r="CD24" t="str">
            <v/>
          </cell>
          <cell r="CE24">
            <v>1.3809627390393887E-5</v>
          </cell>
          <cell r="CF24" t="str">
            <v/>
          </cell>
          <cell r="CG24">
            <v>8.036801652013983E-5</v>
          </cell>
          <cell r="CH24" t="str">
            <v/>
          </cell>
          <cell r="CI24">
            <v>7.0000611356118005</v>
          </cell>
          <cell r="CJ24" t="str">
            <v>Dayot Franck</v>
          </cell>
          <cell r="CK24">
            <v>2.88686847862101E-5</v>
          </cell>
          <cell r="CL24" t="str">
            <v/>
          </cell>
          <cell r="CM24">
            <v>6.9675712363271005E-5</v>
          </cell>
          <cell r="CN24" t="str">
            <v/>
          </cell>
          <cell r="CP24">
            <v>13.002380008490739</v>
          </cell>
          <cell r="CQ24">
            <v>3</v>
          </cell>
          <cell r="CR24">
            <v>3</v>
          </cell>
          <cell r="CS24">
            <v>3</v>
          </cell>
          <cell r="CT24">
            <v>0</v>
          </cell>
          <cell r="CU24">
            <v>3</v>
          </cell>
          <cell r="CV24">
            <v>3</v>
          </cell>
          <cell r="CW24">
            <v>3</v>
          </cell>
          <cell r="CX24">
            <v>3</v>
          </cell>
          <cell r="CY24">
            <v>3</v>
          </cell>
          <cell r="CZ24">
            <v>3</v>
          </cell>
          <cell r="DA24">
            <v>3</v>
          </cell>
          <cell r="DB24">
            <v>3</v>
          </cell>
          <cell r="DC24">
            <v>3</v>
          </cell>
          <cell r="DD24">
            <v>3</v>
          </cell>
          <cell r="DE24">
            <v>30</v>
          </cell>
          <cell r="DG24">
            <v>39</v>
          </cell>
          <cell r="DH24">
            <v>0.76931543771973787</v>
          </cell>
          <cell r="DJ24">
            <v>39.500090797002095</v>
          </cell>
          <cell r="DK24" t="str">
            <v>Dayot Franck</v>
          </cell>
        </row>
        <row r="25">
          <cell r="A25" t="str">
            <v>Boulaire Emile</v>
          </cell>
          <cell r="B25">
            <v>6</v>
          </cell>
          <cell r="C25">
            <v>5</v>
          </cell>
          <cell r="D25">
            <v>5</v>
          </cell>
          <cell r="E25">
            <v>5</v>
          </cell>
          <cell r="H25">
            <v>5</v>
          </cell>
          <cell r="I25">
            <v>5</v>
          </cell>
          <cell r="J25">
            <v>6</v>
          </cell>
          <cell r="K25">
            <v>6</v>
          </cell>
          <cell r="L25">
            <v>6</v>
          </cell>
          <cell r="M25">
            <v>6</v>
          </cell>
          <cell r="O25">
            <v>6</v>
          </cell>
          <cell r="Q25">
            <v>3</v>
          </cell>
          <cell r="R25">
            <v>2</v>
          </cell>
          <cell r="S25">
            <v>1</v>
          </cell>
          <cell r="V25">
            <v>1</v>
          </cell>
          <cell r="W25">
            <v>0</v>
          </cell>
          <cell r="X25">
            <v>2</v>
          </cell>
          <cell r="Y25">
            <v>2</v>
          </cell>
          <cell r="Z25">
            <v>2</v>
          </cell>
          <cell r="AA25">
            <v>0</v>
          </cell>
          <cell r="AC25">
            <v>2</v>
          </cell>
          <cell r="AE25">
            <v>10</v>
          </cell>
          <cell r="AF25">
            <v>7</v>
          </cell>
          <cell r="AG25">
            <v>15</v>
          </cell>
          <cell r="AH25">
            <v>0.4666705750939229</v>
          </cell>
          <cell r="AI25">
            <v>8</v>
          </cell>
          <cell r="AJ25">
            <v>15</v>
          </cell>
          <cell r="AK25">
            <v>0.53333774893497021</v>
          </cell>
          <cell r="AL25">
            <v>15</v>
          </cell>
          <cell r="AM25">
            <v>30</v>
          </cell>
          <cell r="AN25">
            <v>0.50000839941631903</v>
          </cell>
          <cell r="AO25">
            <v>6.0096391922796553</v>
          </cell>
          <cell r="AP25">
            <v>6.0005266453543324</v>
          </cell>
          <cell r="AQ25">
            <v>6.0015117600383512</v>
          </cell>
          <cell r="AR25">
            <v>6.0072906057005584</v>
          </cell>
          <cell r="AS25">
            <v>6.0096603500165067</v>
          </cell>
          <cell r="AT25" t="str">
            <v>e</v>
          </cell>
          <cell r="AU25">
            <v>6.0016356607212211</v>
          </cell>
          <cell r="AV25" t="str">
            <v>e</v>
          </cell>
          <cell r="AX25" t="str">
            <v>Boulaire Emile</v>
          </cell>
          <cell r="AY25" t="str">
            <v/>
          </cell>
          <cell r="AZ25">
            <v>6</v>
          </cell>
          <cell r="BB25">
            <v>1</v>
          </cell>
          <cell r="BC25" t="str">
            <v>BAUD TT 1</v>
          </cell>
          <cell r="BD25">
            <v>21.000076172321862</v>
          </cell>
          <cell r="BE25">
            <v>7</v>
          </cell>
          <cell r="BF25">
            <v>7</v>
          </cell>
          <cell r="BG25">
            <v>0</v>
          </cell>
          <cell r="BH25">
            <v>0</v>
          </cell>
          <cell r="BI25">
            <v>75</v>
          </cell>
          <cell r="BJ25">
            <v>23</v>
          </cell>
          <cell r="BL25">
            <v>1</v>
          </cell>
          <cell r="BM25" t="str">
            <v>SENE TT 3</v>
          </cell>
          <cell r="BN25">
            <v>21.000012966600476</v>
          </cell>
          <cell r="BO25">
            <v>7</v>
          </cell>
          <cell r="BP25">
            <v>7</v>
          </cell>
          <cell r="BQ25">
            <v>0</v>
          </cell>
          <cell r="BR25">
            <v>0</v>
          </cell>
          <cell r="BS25">
            <v>80</v>
          </cell>
          <cell r="BT25">
            <v>18</v>
          </cell>
          <cell r="BY25">
            <v>8.3548598911924998E-5</v>
          </cell>
          <cell r="BZ25" t="str">
            <v/>
          </cell>
          <cell r="CA25">
            <v>3.5175292354016912E-5</v>
          </cell>
          <cell r="CB25" t="str">
            <v/>
          </cell>
          <cell r="CC25">
            <v>5.0011593372580379E-5</v>
          </cell>
          <cell r="CD25" t="str">
            <v/>
          </cell>
          <cell r="CE25">
            <v>4.2220131317735114E-5</v>
          </cell>
          <cell r="CF25" t="str">
            <v/>
          </cell>
          <cell r="CG25">
            <v>7.8819908803861232E-5</v>
          </cell>
          <cell r="CH25" t="str">
            <v/>
          </cell>
          <cell r="CI25">
            <v>5.0000560753001873</v>
          </cell>
          <cell r="CJ25" t="str">
            <v>Boulaire Emile</v>
          </cell>
          <cell r="CK25">
            <v>2.3048206637374726E-5</v>
          </cell>
          <cell r="CL25" t="str">
            <v/>
          </cell>
          <cell r="CM25">
            <v>7.5230520022019803E-6</v>
          </cell>
          <cell r="CN25" t="str">
            <v/>
          </cell>
          <cell r="CP25">
            <v>10.009665883472694</v>
          </cell>
          <cell r="CQ25">
            <v>3</v>
          </cell>
          <cell r="CR25">
            <v>3</v>
          </cell>
          <cell r="CS25">
            <v>3</v>
          </cell>
          <cell r="CT25">
            <v>0</v>
          </cell>
          <cell r="CU25">
            <v>0</v>
          </cell>
          <cell r="CV25">
            <v>3</v>
          </cell>
          <cell r="CW25">
            <v>3</v>
          </cell>
          <cell r="CX25">
            <v>3</v>
          </cell>
          <cell r="CY25">
            <v>3</v>
          </cell>
          <cell r="CZ25">
            <v>3</v>
          </cell>
          <cell r="DA25">
            <v>3</v>
          </cell>
          <cell r="DB25">
            <v>0</v>
          </cell>
          <cell r="DC25">
            <v>3</v>
          </cell>
          <cell r="DD25">
            <v>0</v>
          </cell>
          <cell r="DE25">
            <v>15</v>
          </cell>
          <cell r="DG25">
            <v>30</v>
          </cell>
          <cell r="DH25">
            <v>0.50002106847103367</v>
          </cell>
          <cell r="DJ25">
            <v>30.095560437389153</v>
          </cell>
          <cell r="DK25" t="str">
            <v>Boulaire Emile</v>
          </cell>
        </row>
        <row r="26">
          <cell r="A26" t="str">
            <v>Le Cam Corentin</v>
          </cell>
          <cell r="B26">
            <v>6</v>
          </cell>
          <cell r="C26">
            <v>5</v>
          </cell>
          <cell r="D26">
            <v>5</v>
          </cell>
          <cell r="G26">
            <v>5</v>
          </cell>
          <cell r="H26">
            <v>5</v>
          </cell>
          <cell r="J26">
            <v>6</v>
          </cell>
          <cell r="L26">
            <v>6</v>
          </cell>
          <cell r="M26">
            <v>6</v>
          </cell>
          <cell r="N26">
            <v>6</v>
          </cell>
          <cell r="P26">
            <v>5</v>
          </cell>
          <cell r="Q26">
            <v>1</v>
          </cell>
          <cell r="R26">
            <v>2</v>
          </cell>
          <cell r="U26">
            <v>1</v>
          </cell>
          <cell r="V26">
            <v>0</v>
          </cell>
          <cell r="X26">
            <v>1</v>
          </cell>
          <cell r="Z26">
            <v>1</v>
          </cell>
          <cell r="AA26">
            <v>0</v>
          </cell>
          <cell r="AB26">
            <v>1</v>
          </cell>
          <cell r="AD26">
            <v>0</v>
          </cell>
          <cell r="AE26">
            <v>9</v>
          </cell>
          <cell r="AF26">
            <v>4</v>
          </cell>
          <cell r="AG26">
            <v>12</v>
          </cell>
          <cell r="AH26">
            <v>0.33333674823148146</v>
          </cell>
          <cell r="AI26">
            <v>3</v>
          </cell>
          <cell r="AJ26">
            <v>15</v>
          </cell>
          <cell r="AK26">
            <v>0.20000704378650772</v>
          </cell>
          <cell r="AL26">
            <v>7</v>
          </cell>
          <cell r="AM26">
            <v>27</v>
          </cell>
          <cell r="AN26">
            <v>0.25926296449653741</v>
          </cell>
          <cell r="AO26">
            <v>6.0053994921490768</v>
          </cell>
          <cell r="AP26">
            <v>6.0086811884116669</v>
          </cell>
          <cell r="AQ26" t="str">
            <v>e</v>
          </cell>
          <cell r="AR26">
            <v>6.0081223502272572</v>
          </cell>
          <cell r="AS26">
            <v>6.0093317757402511</v>
          </cell>
          <cell r="AT26">
            <v>6.0068773824520463</v>
          </cell>
          <cell r="AU26" t="str">
            <v>e</v>
          </cell>
          <cell r="AV26">
            <v>5.0068796075039312</v>
          </cell>
          <cell r="AX26" t="str">
            <v>Le Cam Corentin</v>
          </cell>
          <cell r="AY26" t="str">
            <v/>
          </cell>
          <cell r="AZ26">
            <v>6</v>
          </cell>
          <cell r="BB26">
            <v>2</v>
          </cell>
          <cell r="BC26" t="str">
            <v>TT RHUYS 2</v>
          </cell>
          <cell r="BD26">
            <v>15.000070500427565</v>
          </cell>
          <cell r="BE26">
            <v>7</v>
          </cell>
          <cell r="BF26">
            <v>4</v>
          </cell>
          <cell r="BG26">
            <v>0</v>
          </cell>
          <cell r="BH26">
            <v>3</v>
          </cell>
          <cell r="BI26">
            <v>53</v>
          </cell>
          <cell r="BJ26">
            <v>45</v>
          </cell>
          <cell r="BL26">
            <v>2</v>
          </cell>
          <cell r="BM26" t="str">
            <v>MUZILLAC TT 6</v>
          </cell>
          <cell r="BN26">
            <v>18.000010791450908</v>
          </cell>
          <cell r="BO26">
            <v>7</v>
          </cell>
          <cell r="BP26">
            <v>5</v>
          </cell>
          <cell r="BQ26">
            <v>1</v>
          </cell>
          <cell r="BR26">
            <v>1</v>
          </cell>
          <cell r="BS26">
            <v>63</v>
          </cell>
          <cell r="BT26">
            <v>35</v>
          </cell>
          <cell r="BY26">
            <v>8.2491047380845348E-5</v>
          </cell>
          <cell r="BZ26" t="str">
            <v/>
          </cell>
          <cell r="CA26">
            <v>3.3345806528324676E-5</v>
          </cell>
          <cell r="CB26" t="str">
            <v/>
          </cell>
          <cell r="CC26">
            <v>3.1481380789436623E-5</v>
          </cell>
          <cell r="CD26" t="str">
            <v/>
          </cell>
          <cell r="CE26">
            <v>7.1912434343533784E-6</v>
          </cell>
          <cell r="CF26" t="str">
            <v/>
          </cell>
          <cell r="CG26">
            <v>1.0000891305531203</v>
          </cell>
          <cell r="CH26" t="str">
            <v>Le Cam Corentin</v>
          </cell>
          <cell r="CI26">
            <v>4.000044831552235</v>
          </cell>
          <cell r="CJ26" t="str">
            <v>Le Cam Corentin</v>
          </cell>
          <cell r="CK26">
            <v>7.1581251234744263E-5</v>
          </cell>
          <cell r="CL26" t="str">
            <v/>
          </cell>
          <cell r="CM26">
            <v>6.3930506953694714E-5</v>
          </cell>
          <cell r="CN26" t="str">
            <v/>
          </cell>
          <cell r="CP26">
            <v>9.0064593514705038</v>
          </cell>
          <cell r="CQ26">
            <v>3</v>
          </cell>
          <cell r="CR26">
            <v>3</v>
          </cell>
          <cell r="CS26">
            <v>0</v>
          </cell>
          <cell r="CT26">
            <v>0</v>
          </cell>
          <cell r="CU26">
            <v>3</v>
          </cell>
          <cell r="CV26">
            <v>3</v>
          </cell>
          <cell r="CW26">
            <v>0</v>
          </cell>
          <cell r="CX26">
            <v>3</v>
          </cell>
          <cell r="CY26">
            <v>0</v>
          </cell>
          <cell r="CZ26">
            <v>3</v>
          </cell>
          <cell r="DA26">
            <v>3</v>
          </cell>
          <cell r="DB26">
            <v>3</v>
          </cell>
          <cell r="DC26">
            <v>0</v>
          </cell>
          <cell r="DD26">
            <v>3</v>
          </cell>
          <cell r="DE26">
            <v>7</v>
          </cell>
          <cell r="DG26">
            <v>27</v>
          </cell>
          <cell r="DH26">
            <v>0.25926192325617586</v>
          </cell>
          <cell r="DJ26">
            <v>27.885170464284446</v>
          </cell>
          <cell r="DK26" t="str">
            <v>Le Cam Corentin</v>
          </cell>
        </row>
        <row r="27">
          <cell r="A27" t="str">
            <v>Lorho Mathieu</v>
          </cell>
          <cell r="B27">
            <v>6</v>
          </cell>
          <cell r="C27">
            <v>5</v>
          </cell>
          <cell r="G27">
            <v>5</v>
          </cell>
          <cell r="H27">
            <v>5</v>
          </cell>
          <cell r="I27">
            <v>5</v>
          </cell>
          <cell r="M27">
            <v>6</v>
          </cell>
          <cell r="N27">
            <v>6</v>
          </cell>
          <cell r="O27">
            <v>6</v>
          </cell>
          <cell r="P27">
            <v>6</v>
          </cell>
          <cell r="Q27">
            <v>1</v>
          </cell>
          <cell r="U27">
            <v>2</v>
          </cell>
          <cell r="V27">
            <v>1</v>
          </cell>
          <cell r="W27">
            <v>0</v>
          </cell>
          <cell r="AA27">
            <v>3</v>
          </cell>
          <cell r="AB27">
            <v>3</v>
          </cell>
          <cell r="AC27">
            <v>2</v>
          </cell>
          <cell r="AD27">
            <v>0</v>
          </cell>
          <cell r="AE27">
            <v>8</v>
          </cell>
          <cell r="AF27">
            <v>4</v>
          </cell>
          <cell r="AG27">
            <v>12</v>
          </cell>
          <cell r="AH27">
            <v>0.33333336430174421</v>
          </cell>
          <cell r="AI27">
            <v>8</v>
          </cell>
          <cell r="AJ27">
            <v>12</v>
          </cell>
          <cell r="AK27">
            <v>0.66667581366777928</v>
          </cell>
          <cell r="AL27">
            <v>12</v>
          </cell>
          <cell r="AM27">
            <v>24</v>
          </cell>
          <cell r="AN27">
            <v>0.50000969396279016</v>
          </cell>
          <cell r="AO27">
            <v>6.0045922349412733</v>
          </cell>
          <cell r="AP27" t="str">
            <v>e</v>
          </cell>
          <cell r="AQ27" t="str">
            <v>e</v>
          </cell>
          <cell r="AR27" t="str">
            <v>e</v>
          </cell>
          <cell r="AS27">
            <v>6.0042953843539983</v>
          </cell>
          <cell r="AT27">
            <v>6.0082958869201555</v>
          </cell>
          <cell r="AU27">
            <v>6.008571416392499</v>
          </cell>
          <cell r="AV27">
            <v>6.0019599488141715</v>
          </cell>
          <cell r="AX27" t="str">
            <v>Lorho Mathieu</v>
          </cell>
          <cell r="AY27" t="str">
            <v/>
          </cell>
          <cell r="AZ27">
            <v>6</v>
          </cell>
          <cell r="BB27" t="str">
            <v>-</v>
          </cell>
          <cell r="BC27" t="str">
            <v>MUZILLAC TT 5</v>
          </cell>
          <cell r="BD27">
            <v>15.000051858059065</v>
          </cell>
          <cell r="BE27">
            <v>7</v>
          </cell>
          <cell r="BF27">
            <v>4</v>
          </cell>
          <cell r="BG27">
            <v>0</v>
          </cell>
          <cell r="BH27">
            <v>3</v>
          </cell>
          <cell r="BI27">
            <v>54</v>
          </cell>
          <cell r="BJ27">
            <v>44</v>
          </cell>
          <cell r="BL27">
            <v>3</v>
          </cell>
          <cell r="BM27" t="str">
            <v>CTT MENIMUR 6</v>
          </cell>
          <cell r="BN27">
            <v>15.000063407774354</v>
          </cell>
          <cell r="BO27">
            <v>7</v>
          </cell>
          <cell r="BP27">
            <v>4</v>
          </cell>
          <cell r="BQ27">
            <v>0</v>
          </cell>
          <cell r="BR27">
            <v>3</v>
          </cell>
          <cell r="BS27">
            <v>60</v>
          </cell>
          <cell r="BT27">
            <v>38</v>
          </cell>
          <cell r="BY27">
            <v>3.065586619672374E-5</v>
          </cell>
          <cell r="BZ27" t="str">
            <v/>
          </cell>
          <cell r="CA27">
            <v>4.9356408792598682E-5</v>
          </cell>
          <cell r="CB27" t="str">
            <v/>
          </cell>
          <cell r="CC27">
            <v>1.4360544995932091E-5</v>
          </cell>
          <cell r="CD27" t="str">
            <v/>
          </cell>
          <cell r="CE27">
            <v>2.5841211976409362E-5</v>
          </cell>
          <cell r="CF27" t="str">
            <v/>
          </cell>
          <cell r="CG27">
            <v>7.6495535398585999E-5</v>
          </cell>
          <cell r="CH27" t="str">
            <v/>
          </cell>
          <cell r="CI27">
            <v>4.000028671030325</v>
          </cell>
          <cell r="CJ27" t="str">
            <v>Lorho Mathieu</v>
          </cell>
          <cell r="CK27">
            <v>6.5585966621122828E-5</v>
          </cell>
          <cell r="CL27" t="str">
            <v/>
          </cell>
          <cell r="CM27">
            <v>8.788546622542833E-5</v>
          </cell>
          <cell r="CN27" t="str">
            <v/>
          </cell>
          <cell r="CP27">
            <v>8.0055545637907013</v>
          </cell>
          <cell r="CQ27">
            <v>3</v>
          </cell>
          <cell r="CR27">
            <v>0</v>
          </cell>
          <cell r="CS27">
            <v>0</v>
          </cell>
          <cell r="CT27">
            <v>0</v>
          </cell>
          <cell r="CU27">
            <v>3</v>
          </cell>
          <cell r="CV27">
            <v>3</v>
          </cell>
          <cell r="CW27">
            <v>3</v>
          </cell>
          <cell r="CX27">
            <v>0</v>
          </cell>
          <cell r="CY27">
            <v>0</v>
          </cell>
          <cell r="CZ27">
            <v>0</v>
          </cell>
          <cell r="DA27">
            <v>3</v>
          </cell>
          <cell r="DB27">
            <v>3</v>
          </cell>
          <cell r="DC27">
            <v>3</v>
          </cell>
          <cell r="DD27">
            <v>3</v>
          </cell>
          <cell r="DE27">
            <v>24</v>
          </cell>
          <cell r="DG27">
            <v>51</v>
          </cell>
          <cell r="DH27">
            <v>0.47065558204763164</v>
          </cell>
          <cell r="DJ27">
            <v>51.137665496331898</v>
          </cell>
          <cell r="DK27" t="str">
            <v>Lorho Mathieu</v>
          </cell>
        </row>
        <row r="28">
          <cell r="A28" t="str">
            <v>Lecossier Michel</v>
          </cell>
          <cell r="B28">
            <v>6</v>
          </cell>
          <cell r="C28">
            <v>4</v>
          </cell>
          <cell r="D28">
            <v>4</v>
          </cell>
          <cell r="F28">
            <v>4</v>
          </cell>
          <cell r="J28">
            <v>6</v>
          </cell>
          <cell r="K28">
            <v>6</v>
          </cell>
          <cell r="L28">
            <v>6</v>
          </cell>
          <cell r="N28">
            <v>6</v>
          </cell>
          <cell r="O28">
            <v>6</v>
          </cell>
          <cell r="P28">
            <v>6</v>
          </cell>
          <cell r="Q28">
            <v>1</v>
          </cell>
          <cell r="R28">
            <v>0</v>
          </cell>
          <cell r="T28">
            <v>0</v>
          </cell>
          <cell r="X28">
            <v>3</v>
          </cell>
          <cell r="Y28">
            <v>2</v>
          </cell>
          <cell r="Z28">
            <v>3</v>
          </cell>
          <cell r="AB28">
            <v>3</v>
          </cell>
          <cell r="AC28">
            <v>2</v>
          </cell>
          <cell r="AD28">
            <v>0</v>
          </cell>
          <cell r="AE28">
            <v>9</v>
          </cell>
          <cell r="AF28">
            <v>1</v>
          </cell>
          <cell r="AG28">
            <v>9</v>
          </cell>
          <cell r="AH28">
            <v>0.11111719622659684</v>
          </cell>
          <cell r="AI28">
            <v>13</v>
          </cell>
          <cell r="AJ28">
            <v>18</v>
          </cell>
          <cell r="AK28">
            <v>0.7222271184177963</v>
          </cell>
          <cell r="AL28">
            <v>14</v>
          </cell>
          <cell r="AM28">
            <v>27</v>
          </cell>
          <cell r="AN28">
            <v>0.51851856477260949</v>
          </cell>
          <cell r="AO28">
            <v>6.0070289612554406</v>
          </cell>
          <cell r="AP28">
            <v>6.0095950915028347</v>
          </cell>
          <cell r="AQ28">
            <v>6.0008748797368785</v>
          </cell>
          <cell r="AR28">
            <v>6.0067556425325517</v>
          </cell>
          <cell r="AS28" t="str">
            <v>e</v>
          </cell>
          <cell r="AT28">
            <v>6.0053306610553641</v>
          </cell>
          <cell r="AU28">
            <v>6.0066974409038423</v>
          </cell>
          <cell r="AV28">
            <v>6.0016959622362283</v>
          </cell>
          <cell r="AX28" t="str">
            <v>Lecossier Michel</v>
          </cell>
          <cell r="AY28" t="str">
            <v/>
          </cell>
          <cell r="AZ28">
            <v>6</v>
          </cell>
          <cell r="BB28">
            <v>4</v>
          </cell>
          <cell r="BC28" t="str">
            <v>ES ST-AVE 2</v>
          </cell>
          <cell r="BD28">
            <v>14.000000929825426</v>
          </cell>
          <cell r="BE28">
            <v>7</v>
          </cell>
          <cell r="BF28">
            <v>3</v>
          </cell>
          <cell r="BG28">
            <v>1</v>
          </cell>
          <cell r="BH28">
            <v>3</v>
          </cell>
          <cell r="BI28">
            <v>47</v>
          </cell>
          <cell r="BJ28">
            <v>51</v>
          </cell>
          <cell r="BL28">
            <v>4</v>
          </cell>
          <cell r="BM28" t="str">
            <v>ES ST-AVE 1</v>
          </cell>
          <cell r="BN28">
            <v>13.000074035162916</v>
          </cell>
          <cell r="BO28">
            <v>7</v>
          </cell>
          <cell r="BP28">
            <v>2</v>
          </cell>
          <cell r="BQ28">
            <v>2</v>
          </cell>
          <cell r="BR28">
            <v>3</v>
          </cell>
          <cell r="BS28">
            <v>43</v>
          </cell>
          <cell r="BT28">
            <v>55</v>
          </cell>
          <cell r="BY28">
            <v>2.7971976937082999E-5</v>
          </cell>
          <cell r="BZ28" t="str">
            <v/>
          </cell>
          <cell r="CA28">
            <v>8.9444856554081996E-5</v>
          </cell>
          <cell r="CB28" t="str">
            <v/>
          </cell>
          <cell r="CC28">
            <v>3.9363213525167676E-5</v>
          </cell>
          <cell r="CD28" t="str">
            <v/>
          </cell>
          <cell r="CE28">
            <v>8.0623878984100976E-5</v>
          </cell>
          <cell r="CF28" t="str">
            <v/>
          </cell>
          <cell r="CG28">
            <v>5.3880577673746355E-5</v>
          </cell>
          <cell r="CH28" t="str">
            <v/>
          </cell>
          <cell r="CI28">
            <v>6.0000396097238671</v>
          </cell>
          <cell r="CJ28" t="str">
            <v>Lecossier Michel</v>
          </cell>
          <cell r="CK28">
            <v>7.7860301198664307E-5</v>
          </cell>
          <cell r="CL28" t="str">
            <v/>
          </cell>
          <cell r="CM28">
            <v>4.5167949941803756E-5</v>
          </cell>
          <cell r="CN28" t="str">
            <v/>
          </cell>
          <cell r="CP28">
            <v>9.0020838495293418</v>
          </cell>
          <cell r="CQ28">
            <v>3</v>
          </cell>
          <cell r="CR28">
            <v>3</v>
          </cell>
          <cell r="CS28">
            <v>0</v>
          </cell>
          <cell r="CT28">
            <v>3</v>
          </cell>
          <cell r="CU28">
            <v>0</v>
          </cell>
          <cell r="CV28">
            <v>0</v>
          </cell>
          <cell r="CW28">
            <v>0</v>
          </cell>
          <cell r="CX28">
            <v>3</v>
          </cell>
          <cell r="CY28">
            <v>3</v>
          </cell>
          <cell r="CZ28">
            <v>3</v>
          </cell>
          <cell r="DA28">
            <v>0</v>
          </cell>
          <cell r="DB28">
            <v>3</v>
          </cell>
          <cell r="DC28">
            <v>3</v>
          </cell>
          <cell r="DD28">
            <v>3</v>
          </cell>
          <cell r="DE28">
            <v>14</v>
          </cell>
          <cell r="DG28">
            <v>27</v>
          </cell>
          <cell r="DH28">
            <v>0.51855638167716589</v>
          </cell>
          <cell r="DJ28">
            <v>27.994353281842862</v>
          </cell>
          <cell r="DK28" t="str">
            <v>Lecossier Michel</v>
          </cell>
        </row>
        <row r="29">
          <cell r="A29" t="str">
            <v>Craineguy David</v>
          </cell>
          <cell r="B29">
            <v>7</v>
          </cell>
          <cell r="E29">
            <v>7</v>
          </cell>
          <cell r="H29">
            <v>7</v>
          </cell>
          <cell r="K29">
            <v>7</v>
          </cell>
          <cell r="N29">
            <v>7</v>
          </cell>
          <cell r="P29">
            <v>7</v>
          </cell>
          <cell r="S29">
            <v>2</v>
          </cell>
          <cell r="V29">
            <v>3</v>
          </cell>
          <cell r="Y29">
            <v>1</v>
          </cell>
          <cell r="AB29">
            <v>0</v>
          </cell>
          <cell r="AD29">
            <v>0</v>
          </cell>
          <cell r="AE29">
            <v>5</v>
          </cell>
          <cell r="AF29">
            <v>5</v>
          </cell>
          <cell r="AG29">
            <v>6</v>
          </cell>
          <cell r="AH29" t="str">
            <v>NS</v>
          </cell>
          <cell r="AI29">
            <v>1</v>
          </cell>
          <cell r="AJ29">
            <v>9</v>
          </cell>
          <cell r="AK29">
            <v>0.11111307696296173</v>
          </cell>
          <cell r="AL29">
            <v>6</v>
          </cell>
          <cell r="AM29">
            <v>15</v>
          </cell>
          <cell r="AN29">
            <v>0.40000273650889723</v>
          </cell>
          <cell r="AO29">
            <v>7.0093798876163058</v>
          </cell>
          <cell r="AP29" t="str">
            <v>e</v>
          </cell>
          <cell r="AQ29">
            <v>7.0071246168925185</v>
          </cell>
          <cell r="AR29" t="str">
            <v>e</v>
          </cell>
          <cell r="AS29" t="str">
            <v>e</v>
          </cell>
          <cell r="AT29">
            <v>7.0039251817666166</v>
          </cell>
          <cell r="AU29" t="str">
            <v>e</v>
          </cell>
          <cell r="AV29">
            <v>7.0011270091323601</v>
          </cell>
          <cell r="AX29" t="str">
            <v>Craineguy David</v>
          </cell>
          <cell r="AY29" t="str">
            <v/>
          </cell>
          <cell r="AZ29">
            <v>7</v>
          </cell>
          <cell r="BB29">
            <v>5</v>
          </cell>
          <cell r="BC29" t="str">
            <v>CTT MENIMUR 4</v>
          </cell>
          <cell r="BD29">
            <v>13.000019680761751</v>
          </cell>
          <cell r="BE29">
            <v>7</v>
          </cell>
          <cell r="BF29">
            <v>3</v>
          </cell>
          <cell r="BG29">
            <v>0</v>
          </cell>
          <cell r="BH29">
            <v>4</v>
          </cell>
          <cell r="BI29">
            <v>41</v>
          </cell>
          <cell r="BJ29">
            <v>57</v>
          </cell>
          <cell r="BL29" t="str">
            <v>-</v>
          </cell>
          <cell r="BM29" t="str">
            <v>ARGOET STT 2</v>
          </cell>
          <cell r="BN29">
            <v>13.000011469301867</v>
          </cell>
          <cell r="BO29">
            <v>7</v>
          </cell>
          <cell r="BP29">
            <v>3</v>
          </cell>
          <cell r="BQ29">
            <v>0</v>
          </cell>
          <cell r="BR29">
            <v>4</v>
          </cell>
          <cell r="BS29">
            <v>37</v>
          </cell>
          <cell r="BT29">
            <v>61</v>
          </cell>
          <cell r="BY29">
            <v>5.1587293625938158E-5</v>
          </cell>
          <cell r="BZ29" t="str">
            <v/>
          </cell>
          <cell r="CA29">
            <v>5.7666268857259331E-5</v>
          </cell>
          <cell r="CB29" t="str">
            <v/>
          </cell>
          <cell r="CC29">
            <v>5.0746262843415962E-5</v>
          </cell>
          <cell r="CD29" t="str">
            <v/>
          </cell>
          <cell r="CE29">
            <v>3.2305767435119193E-5</v>
          </cell>
          <cell r="CF29" t="str">
            <v/>
          </cell>
          <cell r="CG29">
            <v>3.521107706075687E-5</v>
          </cell>
          <cell r="CH29" t="str">
            <v/>
          </cell>
          <cell r="CI29">
            <v>2.3611716115540095E-5</v>
          </cell>
          <cell r="CJ29" t="str">
            <v/>
          </cell>
          <cell r="CK29">
            <v>3.0000734657713162</v>
          </cell>
          <cell r="CL29" t="str">
            <v>Craineguy David</v>
          </cell>
          <cell r="CM29">
            <v>7.945083505934213E-5</v>
          </cell>
          <cell r="CN29" t="str">
            <v/>
          </cell>
          <cell r="CP29">
            <v>5.0070074152264281</v>
          </cell>
          <cell r="CQ29">
            <v>0</v>
          </cell>
          <cell r="CR29">
            <v>0</v>
          </cell>
          <cell r="CS29">
            <v>3</v>
          </cell>
          <cell r="CT29">
            <v>0</v>
          </cell>
          <cell r="CU29">
            <v>0</v>
          </cell>
          <cell r="CV29">
            <v>3</v>
          </cell>
          <cell r="CW29">
            <v>0</v>
          </cell>
          <cell r="CX29">
            <v>0</v>
          </cell>
          <cell r="CY29">
            <v>3</v>
          </cell>
          <cell r="CZ29">
            <v>0</v>
          </cell>
          <cell r="DA29">
            <v>0</v>
          </cell>
          <cell r="DB29">
            <v>3</v>
          </cell>
          <cell r="DC29">
            <v>0</v>
          </cell>
          <cell r="DD29">
            <v>3</v>
          </cell>
          <cell r="DE29">
            <v>6</v>
          </cell>
          <cell r="DG29">
            <v>15</v>
          </cell>
          <cell r="DH29">
            <v>0.40003368183432125</v>
          </cell>
          <cell r="DJ29">
            <v>15.075135418640507</v>
          </cell>
          <cell r="DK29" t="str">
            <v>Craineguy David</v>
          </cell>
        </row>
        <row r="30">
          <cell r="A30" t="str">
            <v>Zaragoza José</v>
          </cell>
          <cell r="B30">
            <v>7</v>
          </cell>
          <cell r="C30">
            <v>3</v>
          </cell>
          <cell r="D30">
            <v>7</v>
          </cell>
          <cell r="F30">
            <v>7</v>
          </cell>
          <cell r="G30">
            <v>7</v>
          </cell>
          <cell r="H30">
            <v>7</v>
          </cell>
          <cell r="I30">
            <v>7</v>
          </cell>
          <cell r="J30">
            <v>7</v>
          </cell>
          <cell r="K30">
            <v>7</v>
          </cell>
          <cell r="L30">
            <v>7</v>
          </cell>
          <cell r="M30">
            <v>7</v>
          </cell>
          <cell r="N30">
            <v>7</v>
          </cell>
          <cell r="P30">
            <v>6</v>
          </cell>
          <cell r="Q30">
            <v>3</v>
          </cell>
          <cell r="R30">
            <v>3</v>
          </cell>
          <cell r="T30">
            <v>3</v>
          </cell>
          <cell r="U30">
            <v>3</v>
          </cell>
          <cell r="V30">
            <v>3</v>
          </cell>
          <cell r="W30">
            <v>3</v>
          </cell>
          <cell r="X30">
            <v>3</v>
          </cell>
          <cell r="Y30">
            <v>3</v>
          </cell>
          <cell r="Z30">
            <v>1</v>
          </cell>
          <cell r="AA30">
            <v>2</v>
          </cell>
          <cell r="AB30">
            <v>3</v>
          </cell>
          <cell r="AD30">
            <v>3</v>
          </cell>
          <cell r="AE30">
            <v>12</v>
          </cell>
          <cell r="AF30">
            <v>18</v>
          </cell>
          <cell r="AG30">
            <v>18</v>
          </cell>
          <cell r="AH30">
            <v>1.0000069799952187</v>
          </cell>
          <cell r="AI30">
            <v>15</v>
          </cell>
          <cell r="AJ30">
            <v>18</v>
          </cell>
          <cell r="AK30">
            <v>0.83334022243613159</v>
          </cell>
          <cell r="AL30">
            <v>33</v>
          </cell>
          <cell r="AM30">
            <v>36</v>
          </cell>
          <cell r="AN30">
            <v>0.91667425084735354</v>
          </cell>
          <cell r="AO30">
            <v>7.0045769989371065</v>
          </cell>
          <cell r="AP30">
            <v>7.0098242066101522</v>
          </cell>
          <cell r="AQ30">
            <v>7.0094509718298594</v>
          </cell>
          <cell r="AR30">
            <v>7.0091407704193891</v>
          </cell>
          <cell r="AS30">
            <v>7.0083365323754032</v>
          </cell>
          <cell r="AT30">
            <v>7.0039384900963704</v>
          </cell>
          <cell r="AU30" t="str">
            <v>e</v>
          </cell>
          <cell r="AV30">
            <v>6.0098447696778061</v>
          </cell>
          <cell r="AX30" t="str">
            <v>Zaragoza José</v>
          </cell>
          <cell r="AY30" t="str">
            <v/>
          </cell>
          <cell r="AZ30">
            <v>7</v>
          </cell>
          <cell r="BB30">
            <v>6</v>
          </cell>
          <cell r="BC30" t="str">
            <v>PLUNERET/MERIAD 3</v>
          </cell>
          <cell r="BD30">
            <v>10.000051273234616</v>
          </cell>
          <cell r="BE30">
            <v>7</v>
          </cell>
          <cell r="BF30">
            <v>1</v>
          </cell>
          <cell r="BG30">
            <v>1</v>
          </cell>
          <cell r="BH30">
            <v>5</v>
          </cell>
          <cell r="BI30">
            <v>46</v>
          </cell>
          <cell r="BJ30">
            <v>52</v>
          </cell>
          <cell r="BL30">
            <v>6</v>
          </cell>
          <cell r="BM30" t="str">
            <v>FC ST-RAOUL 2</v>
          </cell>
          <cell r="BN30">
            <v>12.000028074268863</v>
          </cell>
          <cell r="BO30">
            <v>7</v>
          </cell>
          <cell r="BP30">
            <v>1</v>
          </cell>
          <cell r="BQ30">
            <v>3</v>
          </cell>
          <cell r="BR30">
            <v>3</v>
          </cell>
          <cell r="BS30">
            <v>41</v>
          </cell>
          <cell r="BT30">
            <v>57</v>
          </cell>
          <cell r="BY30">
            <v>9.7800400047600466E-5</v>
          </cell>
          <cell r="BZ30" t="str">
            <v/>
          </cell>
          <cell r="CA30">
            <v>1.4404666170169224E-5</v>
          </cell>
          <cell r="CB30" t="str">
            <v/>
          </cell>
          <cell r="CC30">
            <v>3.9065598039063603E-5</v>
          </cell>
          <cell r="CD30" t="str">
            <v/>
          </cell>
          <cell r="CE30">
            <v>3.7504072198125285E-5</v>
          </cell>
          <cell r="CF30" t="str">
            <v/>
          </cell>
          <cell r="CG30">
            <v>5.4487509476984047E-5</v>
          </cell>
          <cell r="CH30" t="str">
            <v/>
          </cell>
          <cell r="CI30">
            <v>1.000049310792396</v>
          </cell>
          <cell r="CJ30" t="str">
            <v>Zaragoza José</v>
          </cell>
          <cell r="CK30">
            <v>5.0000839412951912</v>
          </cell>
          <cell r="CL30" t="str">
            <v>Zaragoza José</v>
          </cell>
          <cell r="CM30">
            <v>7.2908800261353888E-5</v>
          </cell>
          <cell r="CN30" t="str">
            <v/>
          </cell>
          <cell r="CP30">
            <v>12.002327861151214</v>
          </cell>
          <cell r="CQ30">
            <v>3</v>
          </cell>
          <cell r="CR30">
            <v>3</v>
          </cell>
          <cell r="CS30">
            <v>0</v>
          </cell>
          <cell r="CT30">
            <v>3</v>
          </cell>
          <cell r="CU30">
            <v>3</v>
          </cell>
          <cell r="CV30">
            <v>3</v>
          </cell>
          <cell r="CW30">
            <v>3</v>
          </cell>
          <cell r="CX30">
            <v>3</v>
          </cell>
          <cell r="CY30">
            <v>3</v>
          </cell>
          <cell r="CZ30">
            <v>3</v>
          </cell>
          <cell r="DA30">
            <v>3</v>
          </cell>
          <cell r="DB30">
            <v>3</v>
          </cell>
          <cell r="DC30">
            <v>0</v>
          </cell>
          <cell r="DD30">
            <v>3</v>
          </cell>
          <cell r="DE30">
            <v>33</v>
          </cell>
          <cell r="DG30">
            <v>36</v>
          </cell>
          <cell r="DH30">
            <v>0.91668285926808657</v>
          </cell>
          <cell r="DJ30">
            <v>36.443811236708598</v>
          </cell>
          <cell r="DK30" t="str">
            <v>Zaragoza José</v>
          </cell>
        </row>
        <row r="31">
          <cell r="A31" t="str">
            <v>Sail Rémy</v>
          </cell>
          <cell r="B31">
            <v>7</v>
          </cell>
          <cell r="D31">
            <v>7</v>
          </cell>
          <cell r="E31">
            <v>7</v>
          </cell>
          <cell r="F31">
            <v>7</v>
          </cell>
          <cell r="G31">
            <v>7</v>
          </cell>
          <cell r="H31">
            <v>7</v>
          </cell>
          <cell r="I31">
            <v>7</v>
          </cell>
          <cell r="J31">
            <v>7</v>
          </cell>
          <cell r="L31">
            <v>7</v>
          </cell>
          <cell r="R31">
            <v>3</v>
          </cell>
          <cell r="S31">
            <v>1</v>
          </cell>
          <cell r="T31">
            <v>3</v>
          </cell>
          <cell r="U31">
            <v>3</v>
          </cell>
          <cell r="V31">
            <v>2</v>
          </cell>
          <cell r="W31">
            <v>2</v>
          </cell>
          <cell r="X31">
            <v>2</v>
          </cell>
          <cell r="Z31">
            <v>1</v>
          </cell>
          <cell r="AE31">
            <v>8</v>
          </cell>
          <cell r="AF31">
            <v>14</v>
          </cell>
          <cell r="AG31">
            <v>18</v>
          </cell>
          <cell r="AH31">
            <v>0.77778724842687497</v>
          </cell>
          <cell r="AI31">
            <v>3</v>
          </cell>
          <cell r="AJ31">
            <v>6</v>
          </cell>
          <cell r="AK31">
            <v>0.50000376431968618</v>
          </cell>
          <cell r="AL31">
            <v>17</v>
          </cell>
          <cell r="AM31">
            <v>24</v>
          </cell>
          <cell r="AN31">
            <v>0.70833954936243426</v>
          </cell>
          <cell r="AO31">
            <v>7.0050894140202393</v>
          </cell>
          <cell r="AP31">
            <v>7.0070013878996154</v>
          </cell>
          <cell r="AQ31" t="str">
            <v>e</v>
          </cell>
          <cell r="AR31">
            <v>7.0020738102296551</v>
          </cell>
          <cell r="AS31" t="str">
            <v>e</v>
          </cell>
          <cell r="AT31" t="str">
            <v>e</v>
          </cell>
          <cell r="AU31" t="str">
            <v>e</v>
          </cell>
          <cell r="AV31" t="str">
            <v>e</v>
          </cell>
          <cell r="AX31" t="str">
            <v>Sail Rémy</v>
          </cell>
          <cell r="AY31" t="str">
            <v/>
          </cell>
          <cell r="AZ31">
            <v>7</v>
          </cell>
          <cell r="BB31" t="str">
            <v>-</v>
          </cell>
          <cell r="BC31" t="str">
            <v>TT RHUYS 1</v>
          </cell>
          <cell r="BD31">
            <v>10.000036554939857</v>
          </cell>
          <cell r="BE31">
            <v>6</v>
          </cell>
          <cell r="BF31">
            <v>2</v>
          </cell>
          <cell r="BG31">
            <v>0</v>
          </cell>
          <cell r="BH31">
            <v>4</v>
          </cell>
          <cell r="BI31">
            <v>33</v>
          </cell>
          <cell r="BJ31">
            <v>51</v>
          </cell>
          <cell r="BL31">
            <v>7</v>
          </cell>
          <cell r="BM31" t="str">
            <v>RM PLUMELEC 2</v>
          </cell>
          <cell r="BN31">
            <v>11.00000345467217</v>
          </cell>
          <cell r="BO31">
            <v>7</v>
          </cell>
          <cell r="BP31">
            <v>1</v>
          </cell>
          <cell r="BQ31">
            <v>2</v>
          </cell>
          <cell r="BR31">
            <v>4</v>
          </cell>
          <cell r="BS31">
            <v>35</v>
          </cell>
          <cell r="BT31">
            <v>63</v>
          </cell>
          <cell r="BY31">
            <v>4.5082666576856293E-5</v>
          </cell>
          <cell r="BZ31" t="str">
            <v/>
          </cell>
          <cell r="CA31">
            <v>4.995856147266268E-5</v>
          </cell>
          <cell r="CB31" t="str">
            <v/>
          </cell>
          <cell r="CC31">
            <v>6.9885816570457613E-5</v>
          </cell>
          <cell r="CD31" t="str">
            <v/>
          </cell>
          <cell r="CE31">
            <v>1.489421839942462E-5</v>
          </cell>
          <cell r="CF31" t="str">
            <v/>
          </cell>
          <cell r="CG31">
            <v>5.4166189656297228E-5</v>
          </cell>
          <cell r="CH31" t="str">
            <v/>
          </cell>
          <cell r="CI31">
            <v>5.4940306787062387E-5</v>
          </cell>
          <cell r="CJ31" t="str">
            <v/>
          </cell>
          <cell r="CK31">
            <v>2.0000748437534965</v>
          </cell>
          <cell r="CL31" t="str">
            <v>Sail Rémy</v>
          </cell>
          <cell r="CM31">
            <v>3.3304577124481585E-5</v>
          </cell>
          <cell r="CN31" t="str">
            <v/>
          </cell>
          <cell r="CP31">
            <v>8.003072409530926</v>
          </cell>
          <cell r="CQ31">
            <v>0</v>
          </cell>
          <cell r="CR31">
            <v>3</v>
          </cell>
          <cell r="CS31">
            <v>3</v>
          </cell>
          <cell r="CT31">
            <v>3</v>
          </cell>
          <cell r="CU31">
            <v>3</v>
          </cell>
          <cell r="CV31">
            <v>3</v>
          </cell>
          <cell r="CW31">
            <v>3</v>
          </cell>
          <cell r="CX31">
            <v>3</v>
          </cell>
          <cell r="CY31">
            <v>0</v>
          </cell>
          <cell r="CZ31">
            <v>3</v>
          </cell>
          <cell r="DA31">
            <v>0</v>
          </cell>
          <cell r="DB31">
            <v>0</v>
          </cell>
          <cell r="DC31">
            <v>0</v>
          </cell>
          <cell r="DD31">
            <v>0</v>
          </cell>
          <cell r="DE31">
            <v>56</v>
          </cell>
          <cell r="DG31">
            <v>73</v>
          </cell>
          <cell r="DH31">
            <v>0.7671927523737232</v>
          </cell>
          <cell r="DJ31">
            <v>73.146876949711526</v>
          </cell>
          <cell r="DK31" t="str">
            <v>Sail Rémy</v>
          </cell>
        </row>
        <row r="32">
          <cell r="A32" t="str">
            <v>Zaragoza Quentin</v>
          </cell>
          <cell r="B32">
            <v>7</v>
          </cell>
          <cell r="D32">
            <v>7</v>
          </cell>
          <cell r="E32">
            <v>7</v>
          </cell>
          <cell r="F32">
            <v>7</v>
          </cell>
          <cell r="G32">
            <v>7</v>
          </cell>
          <cell r="H32">
            <v>7</v>
          </cell>
          <cell r="I32">
            <v>7</v>
          </cell>
          <cell r="J32">
            <v>7</v>
          </cell>
          <cell r="K32">
            <v>7</v>
          </cell>
          <cell r="L32">
            <v>7</v>
          </cell>
          <cell r="M32">
            <v>7</v>
          </cell>
          <cell r="N32">
            <v>7</v>
          </cell>
          <cell r="P32">
            <v>7</v>
          </cell>
          <cell r="R32">
            <v>2</v>
          </cell>
          <cell r="S32">
            <v>1</v>
          </cell>
          <cell r="T32">
            <v>2</v>
          </cell>
          <cell r="U32">
            <v>0</v>
          </cell>
          <cell r="V32">
            <v>2</v>
          </cell>
          <cell r="W32">
            <v>1</v>
          </cell>
          <cell r="X32">
            <v>0</v>
          </cell>
          <cell r="Y32">
            <v>2</v>
          </cell>
          <cell r="Z32">
            <v>1</v>
          </cell>
          <cell r="AA32">
            <v>0</v>
          </cell>
          <cell r="AB32">
            <v>1</v>
          </cell>
          <cell r="AD32">
            <v>0</v>
          </cell>
          <cell r="AE32">
            <v>12</v>
          </cell>
          <cell r="AF32">
            <v>8</v>
          </cell>
          <cell r="AG32">
            <v>18</v>
          </cell>
          <cell r="AH32">
            <v>0.44445333986871521</v>
          </cell>
          <cell r="AI32">
            <v>4</v>
          </cell>
          <cell r="AJ32">
            <v>18</v>
          </cell>
          <cell r="AK32">
            <v>0.2222288371143864</v>
          </cell>
          <cell r="AL32">
            <v>12</v>
          </cell>
          <cell r="AM32">
            <v>36</v>
          </cell>
          <cell r="AN32">
            <v>0.33334177792275277</v>
          </cell>
          <cell r="AO32">
            <v>7.0007467295925974</v>
          </cell>
          <cell r="AP32">
            <v>7.0037754890772748</v>
          </cell>
          <cell r="AQ32">
            <v>7.0016605983647473</v>
          </cell>
          <cell r="AR32">
            <v>7.0017273720061262</v>
          </cell>
          <cell r="AS32">
            <v>7.0017077578902374</v>
          </cell>
          <cell r="AT32">
            <v>7.0036717294603879</v>
          </cell>
          <cell r="AU32" t="str">
            <v>e</v>
          </cell>
          <cell r="AV32">
            <v>7.0000246327916305</v>
          </cell>
          <cell r="AX32" t="str">
            <v>Zaragoza Quentin</v>
          </cell>
          <cell r="AY32" t="str">
            <v/>
          </cell>
          <cell r="AZ32">
            <v>7</v>
          </cell>
          <cell r="BB32" t="str">
            <v>-</v>
          </cell>
          <cell r="BC32" t="str">
            <v>CTT MENIMUR 5</v>
          </cell>
          <cell r="BD32">
            <v>10.00001922981094</v>
          </cell>
          <cell r="BE32">
            <v>6</v>
          </cell>
          <cell r="BF32">
            <v>2</v>
          </cell>
          <cell r="BG32">
            <v>0</v>
          </cell>
          <cell r="BH32">
            <v>4</v>
          </cell>
          <cell r="BI32">
            <v>29</v>
          </cell>
          <cell r="BJ32">
            <v>55</v>
          </cell>
          <cell r="BL32">
            <v>7</v>
          </cell>
          <cell r="BM32" t="str">
            <v>Exempt</v>
          </cell>
          <cell r="BN32">
            <v>9.00003237503992</v>
          </cell>
          <cell r="BO32">
            <v>7</v>
          </cell>
          <cell r="BP32">
            <v>1</v>
          </cell>
          <cell r="BQ32">
            <v>0</v>
          </cell>
          <cell r="BR32">
            <v>6</v>
          </cell>
          <cell r="BS32">
            <v>33</v>
          </cell>
          <cell r="BT32">
            <v>65</v>
          </cell>
          <cell r="BY32">
            <v>9.8885356623950693E-5</v>
          </cell>
          <cell r="BZ32" t="str">
            <v/>
          </cell>
          <cell r="CA32">
            <v>6.1167836423732134E-5</v>
          </cell>
          <cell r="CB32" t="str">
            <v/>
          </cell>
          <cell r="CC32">
            <v>9.947662074438197E-5</v>
          </cell>
          <cell r="CD32" t="str">
            <v/>
          </cell>
          <cell r="CE32">
            <v>9.0275807719268018E-6</v>
          </cell>
          <cell r="CF32" t="str">
            <v/>
          </cell>
          <cell r="CG32">
            <v>3.6209640537802945E-5</v>
          </cell>
          <cell r="CH32" t="str">
            <v/>
          </cell>
          <cell r="CI32">
            <v>8.1402316636082104E-5</v>
          </cell>
          <cell r="CJ32" t="str">
            <v/>
          </cell>
          <cell r="CK32">
            <v>6.0000859331361971</v>
          </cell>
          <cell r="CL32" t="str">
            <v>Zaragoza Quentin</v>
          </cell>
          <cell r="CM32">
            <v>7.8246210769977815E-5</v>
          </cell>
          <cell r="CN32" t="str">
            <v/>
          </cell>
          <cell r="CP32">
            <v>12.005108562290195</v>
          </cell>
          <cell r="CQ32">
            <v>0</v>
          </cell>
          <cell r="CR32">
            <v>3</v>
          </cell>
          <cell r="CS32">
            <v>3</v>
          </cell>
          <cell r="CT32">
            <v>3</v>
          </cell>
          <cell r="CU32">
            <v>3</v>
          </cell>
          <cell r="CV32">
            <v>3</v>
          </cell>
          <cell r="CW32">
            <v>3</v>
          </cell>
          <cell r="CX32">
            <v>3</v>
          </cell>
          <cell r="CY32">
            <v>3</v>
          </cell>
          <cell r="CZ32">
            <v>3</v>
          </cell>
          <cell r="DA32">
            <v>3</v>
          </cell>
          <cell r="DB32">
            <v>3</v>
          </cell>
          <cell r="DC32">
            <v>0</v>
          </cell>
          <cell r="DD32">
            <v>3</v>
          </cell>
          <cell r="DE32">
            <v>44</v>
          </cell>
          <cell r="DG32">
            <v>82</v>
          </cell>
          <cell r="DH32">
            <v>0.5366575737452598</v>
          </cell>
          <cell r="DJ32">
            <v>82.809913492360351</v>
          </cell>
          <cell r="DK32" t="str">
            <v>Zaragoza Quentin</v>
          </cell>
        </row>
        <row r="33">
          <cell r="A33" t="str">
            <v>Bousseau Yannick</v>
          </cell>
          <cell r="B33">
            <v>7</v>
          </cell>
          <cell r="D33">
            <v>7</v>
          </cell>
          <cell r="E33">
            <v>7</v>
          </cell>
          <cell r="F33">
            <v>7</v>
          </cell>
          <cell r="G33">
            <v>7</v>
          </cell>
          <cell r="I33">
            <v>7</v>
          </cell>
          <cell r="J33">
            <v>7</v>
          </cell>
          <cell r="K33">
            <v>7</v>
          </cell>
          <cell r="L33">
            <v>7</v>
          </cell>
          <cell r="M33">
            <v>7</v>
          </cell>
          <cell r="N33">
            <v>7</v>
          </cell>
          <cell r="O33">
            <v>7</v>
          </cell>
          <cell r="P33">
            <v>7</v>
          </cell>
          <cell r="R33">
            <v>3</v>
          </cell>
          <cell r="S33">
            <v>3</v>
          </cell>
          <cell r="T33">
            <v>3</v>
          </cell>
          <cell r="U33">
            <v>3</v>
          </cell>
          <cell r="W33">
            <v>3</v>
          </cell>
          <cell r="X33">
            <v>0</v>
          </cell>
          <cell r="Y33">
            <v>0</v>
          </cell>
          <cell r="Z33">
            <v>1</v>
          </cell>
          <cell r="AA33">
            <v>0</v>
          </cell>
          <cell r="AB33">
            <v>0</v>
          </cell>
          <cell r="AC33">
            <v>0</v>
          </cell>
          <cell r="AD33">
            <v>0</v>
          </cell>
          <cell r="AE33">
            <v>12</v>
          </cell>
          <cell r="AF33">
            <v>15</v>
          </cell>
          <cell r="AG33">
            <v>15</v>
          </cell>
          <cell r="AH33">
            <v>1.0000098008218024</v>
          </cell>
          <cell r="AI33">
            <v>1</v>
          </cell>
          <cell r="AJ33">
            <v>21</v>
          </cell>
          <cell r="AK33">
            <v>4.762894746439357E-2</v>
          </cell>
          <cell r="AL33">
            <v>16</v>
          </cell>
          <cell r="AM33">
            <v>36</v>
          </cell>
          <cell r="AN33">
            <v>0.4444517992553299</v>
          </cell>
          <cell r="AO33">
            <v>7.0097983256163117</v>
          </cell>
          <cell r="AP33">
            <v>7.0029428508948444</v>
          </cell>
          <cell r="AQ33">
            <v>7.006774176353793</v>
          </cell>
          <cell r="AR33">
            <v>7.0068943875606244</v>
          </cell>
          <cell r="AS33">
            <v>7.0093098633487854</v>
          </cell>
          <cell r="AT33">
            <v>7.003123826781156</v>
          </cell>
          <cell r="AU33">
            <v>7.0022653000837805</v>
          </cell>
          <cell r="AV33">
            <v>7.0010149664022814</v>
          </cell>
          <cell r="AX33" t="str">
            <v>Bousseau Yannick</v>
          </cell>
          <cell r="AY33" t="str">
            <v/>
          </cell>
          <cell r="AZ33">
            <v>7</v>
          </cell>
          <cell r="BB33" t="str">
            <v>*</v>
          </cell>
          <cell r="BC33" t="str">
            <v>Déf 9 - 5 contre TT RHUYS 1</v>
          </cell>
          <cell r="BL33" t="str">
            <v>*</v>
          </cell>
          <cell r="BM33" t="str">
            <v>Déf 9 - 5 contre SENE TT 3</v>
          </cell>
          <cell r="BY33">
            <v>5.3563018240749824E-7</v>
          </cell>
          <cell r="BZ33" t="str">
            <v/>
          </cell>
          <cell r="CA33">
            <v>6.320309638156115E-5</v>
          </cell>
          <cell r="CB33" t="str">
            <v/>
          </cell>
          <cell r="CC33">
            <v>1.7773573799201249E-5</v>
          </cell>
          <cell r="CD33" t="str">
            <v/>
          </cell>
          <cell r="CE33">
            <v>4.8899953270409503E-5</v>
          </cell>
          <cell r="CF33" t="str">
            <v/>
          </cell>
          <cell r="CG33">
            <v>2.2688099919952355E-6</v>
          </cell>
          <cell r="CH33" t="str">
            <v/>
          </cell>
          <cell r="CI33">
            <v>8.0207459493235073E-5</v>
          </cell>
          <cell r="CJ33" t="str">
            <v/>
          </cell>
          <cell r="CK33">
            <v>7.0000029161466752</v>
          </cell>
          <cell r="CL33" t="str">
            <v>Bousseau Yannick</v>
          </cell>
          <cell r="CM33">
            <v>6.9312774599942026E-5</v>
          </cell>
          <cell r="CN33" t="str">
            <v/>
          </cell>
          <cell r="CP33">
            <v>12.00093470217891</v>
          </cell>
          <cell r="CQ33">
            <v>0</v>
          </cell>
          <cell r="CR33">
            <v>3</v>
          </cell>
          <cell r="CS33">
            <v>3</v>
          </cell>
          <cell r="CT33">
            <v>3</v>
          </cell>
          <cell r="CU33">
            <v>3</v>
          </cell>
          <cell r="CV33">
            <v>0</v>
          </cell>
          <cell r="CW33">
            <v>3</v>
          </cell>
          <cell r="CX33">
            <v>3</v>
          </cell>
          <cell r="CY33">
            <v>3</v>
          </cell>
          <cell r="CZ33">
            <v>3</v>
          </cell>
          <cell r="DA33">
            <v>3</v>
          </cell>
          <cell r="DB33">
            <v>3</v>
          </cell>
          <cell r="DC33">
            <v>3</v>
          </cell>
          <cell r="DD33">
            <v>3</v>
          </cell>
          <cell r="DE33">
            <v>16</v>
          </cell>
          <cell r="DG33">
            <v>36</v>
          </cell>
          <cell r="DH33">
            <v>0.44453131366852205</v>
          </cell>
          <cell r="DJ33">
            <v>36.940366733551052</v>
          </cell>
          <cell r="DK33" t="str">
            <v>Bousseau Yannick</v>
          </cell>
        </row>
        <row r="34">
          <cell r="A34" t="str">
            <v>Jugé Léana</v>
          </cell>
          <cell r="B34">
            <v>8</v>
          </cell>
          <cell r="D34">
            <v>5</v>
          </cell>
          <cell r="E34">
            <v>5</v>
          </cell>
          <cell r="G34">
            <v>5</v>
          </cell>
          <cell r="I34">
            <v>5</v>
          </cell>
          <cell r="K34">
            <v>8</v>
          </cell>
          <cell r="M34">
            <v>7</v>
          </cell>
          <cell r="O34">
            <v>8</v>
          </cell>
          <cell r="P34">
            <v>7</v>
          </cell>
          <cell r="R34">
            <v>1</v>
          </cell>
          <cell r="S34">
            <v>0</v>
          </cell>
          <cell r="U34">
            <v>0</v>
          </cell>
          <cell r="W34">
            <v>0</v>
          </cell>
          <cell r="Y34">
            <v>0</v>
          </cell>
          <cell r="AA34">
            <v>0</v>
          </cell>
          <cell r="AC34">
            <v>1</v>
          </cell>
          <cell r="AD34">
            <v>0</v>
          </cell>
          <cell r="AE34">
            <v>8</v>
          </cell>
          <cell r="AF34">
            <v>1</v>
          </cell>
          <cell r="AG34">
            <v>12</v>
          </cell>
          <cell r="AH34">
            <v>8.3340816462565873E-2</v>
          </cell>
          <cell r="AI34">
            <v>1</v>
          </cell>
          <cell r="AJ34">
            <v>12</v>
          </cell>
          <cell r="AK34">
            <v>8.3336737779625386E-2</v>
          </cell>
          <cell r="AL34">
            <v>2</v>
          </cell>
          <cell r="AM34">
            <v>24</v>
          </cell>
          <cell r="AN34">
            <v>8.3338722300103987E-2</v>
          </cell>
          <cell r="AO34">
            <v>8.0093193986018818</v>
          </cell>
          <cell r="AP34" t="str">
            <v>e</v>
          </cell>
          <cell r="AQ34">
            <v>8.0047838870495767</v>
          </cell>
          <cell r="AR34" t="str">
            <v>e</v>
          </cell>
          <cell r="AS34">
            <v>7.0091078847549078</v>
          </cell>
          <cell r="AT34" t="str">
            <v>e</v>
          </cell>
          <cell r="AU34">
            <v>8.0084909116158371</v>
          </cell>
          <cell r="AV34">
            <v>7.0032437648388957</v>
          </cell>
          <cell r="AX34" t="str">
            <v>Jugé Léana</v>
          </cell>
          <cell r="AY34" t="str">
            <v/>
          </cell>
          <cell r="AZ34">
            <v>8</v>
          </cell>
          <cell r="BB34" t="str">
            <v>Une équipe rajeunie mais encore trop tendre .</v>
          </cell>
          <cell r="BL34" t="str">
            <v>L'expérience a fait la différence</v>
          </cell>
          <cell r="BY34">
            <v>8.6247218973968436E-5</v>
          </cell>
          <cell r="BZ34" t="str">
            <v/>
          </cell>
          <cell r="CA34">
            <v>7.8565099621771652E-5</v>
          </cell>
          <cell r="CB34" t="str">
            <v/>
          </cell>
          <cell r="CC34">
            <v>8.4068688993039768E-5</v>
          </cell>
          <cell r="CD34" t="str">
            <v/>
          </cell>
          <cell r="CE34">
            <v>3.5277673920251596E-5</v>
          </cell>
          <cell r="CF34" t="str">
            <v/>
          </cell>
          <cell r="CG34">
            <v>8.4285866563513055E-5</v>
          </cell>
          <cell r="CH34" t="str">
            <v/>
          </cell>
          <cell r="CI34">
            <v>6.7706053231841204E-6</v>
          </cell>
          <cell r="CJ34" t="str">
            <v/>
          </cell>
          <cell r="CK34">
            <v>2.0000925478769167</v>
          </cell>
          <cell r="CL34" t="str">
            <v>Jugé Léana</v>
          </cell>
          <cell r="CM34">
            <v>2.0000611845558884</v>
          </cell>
          <cell r="CN34" t="str">
            <v>Jugé Léana</v>
          </cell>
          <cell r="CP34">
            <v>8.0022068106033011</v>
          </cell>
          <cell r="CQ34">
            <v>0</v>
          </cell>
          <cell r="CR34">
            <v>3</v>
          </cell>
          <cell r="CS34">
            <v>3</v>
          </cell>
          <cell r="CT34">
            <v>0</v>
          </cell>
          <cell r="CU34">
            <v>3</v>
          </cell>
          <cell r="CV34">
            <v>0</v>
          </cell>
          <cell r="CW34">
            <v>3</v>
          </cell>
          <cell r="CX34">
            <v>0</v>
          </cell>
          <cell r="CY34">
            <v>3</v>
          </cell>
          <cell r="CZ34">
            <v>0</v>
          </cell>
          <cell r="DA34">
            <v>3</v>
          </cell>
          <cell r="DB34">
            <v>0</v>
          </cell>
          <cell r="DC34">
            <v>3</v>
          </cell>
          <cell r="DD34">
            <v>3</v>
          </cell>
          <cell r="DE34">
            <v>2</v>
          </cell>
          <cell r="DG34">
            <v>28</v>
          </cell>
          <cell r="DH34">
            <v>7.1472729486052364E-2</v>
          </cell>
          <cell r="DJ34">
            <v>28.907425606162498</v>
          </cell>
          <cell r="DK34" t="str">
            <v>Jugé Léana</v>
          </cell>
        </row>
        <row r="35">
          <cell r="A35" t="str">
            <v>Guehennec Benoit</v>
          </cell>
          <cell r="B35">
            <v>8</v>
          </cell>
          <cell r="C35">
            <v>6</v>
          </cell>
          <cell r="D35">
            <v>6</v>
          </cell>
          <cell r="E35">
            <v>6</v>
          </cell>
          <cell r="F35">
            <v>6</v>
          </cell>
          <cell r="H35">
            <v>6</v>
          </cell>
          <cell r="I35">
            <v>6</v>
          </cell>
          <cell r="J35">
            <v>8</v>
          </cell>
          <cell r="K35">
            <v>8</v>
          </cell>
          <cell r="L35">
            <v>8</v>
          </cell>
          <cell r="M35">
            <v>8</v>
          </cell>
          <cell r="P35">
            <v>8</v>
          </cell>
          <cell r="Q35">
            <v>2</v>
          </cell>
          <cell r="R35">
            <v>3</v>
          </cell>
          <cell r="S35">
            <v>3</v>
          </cell>
          <cell r="T35">
            <v>3</v>
          </cell>
          <cell r="V35">
            <v>3</v>
          </cell>
          <cell r="W35">
            <v>1</v>
          </cell>
          <cell r="X35">
            <v>2</v>
          </cell>
          <cell r="Y35">
            <v>0</v>
          </cell>
          <cell r="Z35">
            <v>2</v>
          </cell>
          <cell r="AA35">
            <v>3</v>
          </cell>
          <cell r="AD35">
            <v>2</v>
          </cell>
          <cell r="AE35">
            <v>11</v>
          </cell>
          <cell r="AF35">
            <v>15</v>
          </cell>
          <cell r="AG35">
            <v>18</v>
          </cell>
          <cell r="AH35">
            <v>0.8333423888433813</v>
          </cell>
          <cell r="AI35">
            <v>9</v>
          </cell>
          <cell r="AJ35">
            <v>15</v>
          </cell>
          <cell r="AK35">
            <v>0.60000969432174955</v>
          </cell>
          <cell r="AL35">
            <v>24</v>
          </cell>
          <cell r="AM35">
            <v>33</v>
          </cell>
          <cell r="AN35">
            <v>0.7272739773101623</v>
          </cell>
          <cell r="AO35">
            <v>8.0031697053115138</v>
          </cell>
          <cell r="AP35">
            <v>8.0063248717707367</v>
          </cell>
          <cell r="AQ35">
            <v>8.0018553292349939</v>
          </cell>
          <cell r="AR35">
            <v>8.0033634604680977</v>
          </cell>
          <cell r="AS35">
            <v>8.0051585030898167</v>
          </cell>
          <cell r="AT35" t="str">
            <v>e</v>
          </cell>
          <cell r="AU35" t="str">
            <v>e</v>
          </cell>
          <cell r="AV35">
            <v>8.0066249284614432</v>
          </cell>
          <cell r="AX35" t="str">
            <v>Guehennec Benoit</v>
          </cell>
          <cell r="AY35" t="str">
            <v/>
          </cell>
          <cell r="AZ35">
            <v>8</v>
          </cell>
          <cell r="BB35" t="str">
            <v>Clt</v>
          </cell>
          <cell r="BC35" t="str">
            <v>MTT 7:  D3    F</v>
          </cell>
          <cell r="BD35" t="str">
            <v>Pts</v>
          </cell>
          <cell r="BE35" t="str">
            <v>Joués</v>
          </cell>
          <cell r="BF35" t="str">
            <v>vic</v>
          </cell>
          <cell r="BG35" t="str">
            <v>nul</v>
          </cell>
          <cell r="BH35" t="str">
            <v>déf</v>
          </cell>
          <cell r="BI35" t="str">
            <v>PG</v>
          </cell>
          <cell r="BJ35" t="str">
            <v>PP</v>
          </cell>
          <cell r="BL35" t="str">
            <v>Clt</v>
          </cell>
          <cell r="BM35" t="str">
            <v>MTT 8:  D4     G</v>
          </cell>
          <cell r="BN35" t="str">
            <v>Pts</v>
          </cell>
          <cell r="BO35" t="str">
            <v>Joués</v>
          </cell>
          <cell r="BP35" t="str">
            <v>vic</v>
          </cell>
          <cell r="BQ35" t="str">
            <v>nul</v>
          </cell>
          <cell r="BR35" t="str">
            <v>déf</v>
          </cell>
          <cell r="BS35" t="str">
            <v>PG</v>
          </cell>
          <cell r="BT35" t="str">
            <v>PP</v>
          </cell>
          <cell r="BY35">
            <v>5.891860359198965E-5</v>
          </cell>
          <cell r="BZ35" t="str">
            <v/>
          </cell>
          <cell r="CA35">
            <v>3.2069482719989998E-5</v>
          </cell>
          <cell r="CB35" t="str">
            <v/>
          </cell>
          <cell r="CC35">
            <v>6.7771416593556566E-5</v>
          </cell>
          <cell r="CD35" t="str">
            <v/>
          </cell>
          <cell r="CE35">
            <v>5.4402045781232048E-5</v>
          </cell>
          <cell r="CF35" t="str">
            <v/>
          </cell>
          <cell r="CG35">
            <v>8.0145000938388187E-5</v>
          </cell>
          <cell r="CH35" t="str">
            <v/>
          </cell>
          <cell r="CI35">
            <v>1.8490991638628219E-6</v>
          </cell>
          <cell r="CJ35" t="str">
            <v/>
          </cell>
          <cell r="CK35">
            <v>2.9505566506776415E-5</v>
          </cell>
          <cell r="CL35" t="str">
            <v/>
          </cell>
          <cell r="CM35">
            <v>5.0000953305115265</v>
          </cell>
          <cell r="CN35" t="str">
            <v>Guehennec Benoit</v>
          </cell>
          <cell r="CP35">
            <v>11.009238866682779</v>
          </cell>
          <cell r="CQ35">
            <v>3</v>
          </cell>
          <cell r="CR35">
            <v>3</v>
          </cell>
          <cell r="CS35">
            <v>3</v>
          </cell>
          <cell r="CT35">
            <v>3</v>
          </cell>
          <cell r="CU35">
            <v>0</v>
          </cell>
          <cell r="CV35">
            <v>3</v>
          </cell>
          <cell r="CW35">
            <v>3</v>
          </cell>
          <cell r="CX35">
            <v>3</v>
          </cell>
          <cell r="CY35">
            <v>3</v>
          </cell>
          <cell r="CZ35">
            <v>3</v>
          </cell>
          <cell r="DA35">
            <v>3</v>
          </cell>
          <cell r="DB35">
            <v>0</v>
          </cell>
          <cell r="DC35">
            <v>0</v>
          </cell>
          <cell r="DD35">
            <v>3</v>
          </cell>
          <cell r="DE35">
            <v>24</v>
          </cell>
          <cell r="DG35">
            <v>33</v>
          </cell>
          <cell r="DH35">
            <v>0.72735959687822571</v>
          </cell>
          <cell r="DJ35">
            <v>33.107191829090539</v>
          </cell>
          <cell r="DK35" t="str">
            <v>Guehennec Benoit</v>
          </cell>
        </row>
        <row r="36">
          <cell r="A36" t="str">
            <v>Guillotin Marie-Paule</v>
          </cell>
          <cell r="B36">
            <v>8</v>
          </cell>
          <cell r="C36">
            <v>6</v>
          </cell>
          <cell r="D36">
            <v>6</v>
          </cell>
          <cell r="E36">
            <v>6</v>
          </cell>
          <cell r="I36">
            <v>6</v>
          </cell>
          <cell r="J36">
            <v>8</v>
          </cell>
          <cell r="L36">
            <v>8</v>
          </cell>
          <cell r="M36">
            <v>8</v>
          </cell>
          <cell r="O36">
            <v>8</v>
          </cell>
          <cell r="P36">
            <v>8</v>
          </cell>
          <cell r="Q36">
            <v>0</v>
          </cell>
          <cell r="R36">
            <v>2</v>
          </cell>
          <cell r="S36">
            <v>1</v>
          </cell>
          <cell r="W36">
            <v>2</v>
          </cell>
          <cell r="X36">
            <v>1</v>
          </cell>
          <cell r="Z36">
            <v>1</v>
          </cell>
          <cell r="AA36">
            <v>1</v>
          </cell>
          <cell r="AC36">
            <v>1</v>
          </cell>
          <cell r="AD36">
            <v>0</v>
          </cell>
          <cell r="AE36">
            <v>9</v>
          </cell>
          <cell r="AF36">
            <v>5</v>
          </cell>
          <cell r="AG36">
            <v>12</v>
          </cell>
          <cell r="AH36">
            <v>0.41667272830114865</v>
          </cell>
          <cell r="AI36">
            <v>4</v>
          </cell>
          <cell r="AJ36">
            <v>15</v>
          </cell>
          <cell r="AK36">
            <v>0.26667502172447383</v>
          </cell>
          <cell r="AL36">
            <v>9</v>
          </cell>
          <cell r="AM36">
            <v>27</v>
          </cell>
          <cell r="AN36">
            <v>0.33333929943783985</v>
          </cell>
          <cell r="AO36">
            <v>8.0060335866331069</v>
          </cell>
          <cell r="AP36">
            <v>8.0070959208434065</v>
          </cell>
          <cell r="AQ36" t="str">
            <v>e</v>
          </cell>
          <cell r="AR36">
            <v>8.0059444415759273</v>
          </cell>
          <cell r="AS36">
            <v>8.0006464106032666</v>
          </cell>
          <cell r="AT36" t="str">
            <v>e</v>
          </cell>
          <cell r="AU36">
            <v>8.0000398952260543</v>
          </cell>
          <cell r="AV36">
            <v>8.0072845470036338</v>
          </cell>
          <cell r="AX36" t="str">
            <v>Guillotin Marie-Paule</v>
          </cell>
          <cell r="AY36" t="str">
            <v/>
          </cell>
          <cell r="AZ36">
            <v>8</v>
          </cell>
          <cell r="BB36">
            <v>1</v>
          </cell>
          <cell r="BC36" t="str">
            <v>AS ST PHILIBERT 2</v>
          </cell>
          <cell r="BD36">
            <v>21.000096326756061</v>
          </cell>
          <cell r="BE36">
            <v>7</v>
          </cell>
          <cell r="BF36">
            <v>7</v>
          </cell>
          <cell r="BG36">
            <v>0</v>
          </cell>
          <cell r="BH36">
            <v>0</v>
          </cell>
          <cell r="BI36">
            <v>74</v>
          </cell>
          <cell r="BJ36">
            <v>24</v>
          </cell>
          <cell r="BL36">
            <v>1</v>
          </cell>
          <cell r="BM36" t="str">
            <v>TT PAYS LOCMINE 4</v>
          </cell>
          <cell r="BN36">
            <v>16.000073469798888</v>
          </cell>
          <cell r="BO36">
            <v>6</v>
          </cell>
          <cell r="BP36">
            <v>5</v>
          </cell>
          <cell r="BQ36">
            <v>0</v>
          </cell>
          <cell r="BR36">
            <v>1</v>
          </cell>
          <cell r="BS36">
            <v>62</v>
          </cell>
          <cell r="BT36">
            <v>22</v>
          </cell>
          <cell r="BY36">
            <v>2.4173100250913172E-5</v>
          </cell>
          <cell r="BZ36" t="str">
            <v/>
          </cell>
          <cell r="CA36">
            <v>4.0494768535973223E-6</v>
          </cell>
          <cell r="CB36" t="str">
            <v/>
          </cell>
          <cell r="CC36">
            <v>3.7119306931647438E-5</v>
          </cell>
          <cell r="CD36" t="str">
            <v/>
          </cell>
          <cell r="CE36">
            <v>3.9313050567171274E-5</v>
          </cell>
          <cell r="CF36" t="str">
            <v/>
          </cell>
          <cell r="CG36">
            <v>1.6505600084873708E-5</v>
          </cell>
          <cell r="CH36" t="str">
            <v/>
          </cell>
          <cell r="CI36">
            <v>5.2562648714815633E-5</v>
          </cell>
          <cell r="CJ36" t="str">
            <v/>
          </cell>
          <cell r="CK36">
            <v>3.9853644156943368E-5</v>
          </cell>
          <cell r="CL36" t="str">
            <v/>
          </cell>
          <cell r="CM36">
            <v>5.0000167454746851</v>
          </cell>
          <cell r="CN36" t="str">
            <v>Guillotin Marie-Paule</v>
          </cell>
          <cell r="CP36">
            <v>9.0087009117749144</v>
          </cell>
          <cell r="CQ36">
            <v>3</v>
          </cell>
          <cell r="CR36">
            <v>3</v>
          </cell>
          <cell r="CS36">
            <v>3</v>
          </cell>
          <cell r="CT36">
            <v>0</v>
          </cell>
          <cell r="CU36">
            <v>0</v>
          </cell>
          <cell r="CV36">
            <v>0</v>
          </cell>
          <cell r="CW36">
            <v>3</v>
          </cell>
          <cell r="CX36">
            <v>3</v>
          </cell>
          <cell r="CY36">
            <v>0</v>
          </cell>
          <cell r="CZ36">
            <v>3</v>
          </cell>
          <cell r="DA36">
            <v>3</v>
          </cell>
          <cell r="DB36">
            <v>0</v>
          </cell>
          <cell r="DC36">
            <v>3</v>
          </cell>
          <cell r="DD36">
            <v>3</v>
          </cell>
          <cell r="DE36">
            <v>10</v>
          </cell>
          <cell r="DG36">
            <v>31</v>
          </cell>
          <cell r="DH36">
            <v>0.32267320993595672</v>
          </cell>
          <cell r="DJ36">
            <v>31.008168599121891</v>
          </cell>
          <cell r="DK36" t="str">
            <v>Guillotin Marie-Paule</v>
          </cell>
        </row>
        <row r="37">
          <cell r="A37" t="str">
            <v>Sail Anthony</v>
          </cell>
          <cell r="B37">
            <v>8</v>
          </cell>
          <cell r="J37">
            <v>8</v>
          </cell>
          <cell r="K37">
            <v>8</v>
          </cell>
          <cell r="L37">
            <v>8</v>
          </cell>
          <cell r="M37">
            <v>8</v>
          </cell>
          <cell r="O37">
            <v>8</v>
          </cell>
          <cell r="P37">
            <v>8</v>
          </cell>
          <cell r="Q37">
            <v>0</v>
          </cell>
          <cell r="Y37">
            <v>0</v>
          </cell>
          <cell r="Z37">
            <v>0</v>
          </cell>
          <cell r="AA37">
            <v>1</v>
          </cell>
          <cell r="AC37">
            <v>1</v>
          </cell>
          <cell r="AD37">
            <v>1</v>
          </cell>
          <cell r="AE37">
            <v>6</v>
          </cell>
          <cell r="AF37">
            <v>0</v>
          </cell>
          <cell r="AG37">
            <v>0</v>
          </cell>
          <cell r="AH37" t="str">
            <v>X</v>
          </cell>
          <cell r="AI37">
            <v>3</v>
          </cell>
          <cell r="AJ37">
            <v>18</v>
          </cell>
          <cell r="AK37">
            <v>0.16667342752589806</v>
          </cell>
          <cell r="AL37">
            <v>3</v>
          </cell>
          <cell r="AM37">
            <v>18</v>
          </cell>
          <cell r="AN37">
            <v>0.16666868180756278</v>
          </cell>
          <cell r="AO37">
            <v>8.0052709564400466</v>
          </cell>
          <cell r="AP37">
            <v>8.0080905736023471</v>
          </cell>
          <cell r="AQ37">
            <v>8.0026816676926043</v>
          </cell>
          <cell r="AR37">
            <v>8.004681463809165</v>
          </cell>
          <cell r="AS37">
            <v>8.0061570491573875</v>
          </cell>
          <cell r="AT37" t="str">
            <v>e</v>
          </cell>
          <cell r="AU37">
            <v>8.0053389827900734</v>
          </cell>
          <cell r="AV37">
            <v>8.0026278258174326</v>
          </cell>
          <cell r="AX37" t="str">
            <v>Sail Anthony</v>
          </cell>
          <cell r="AY37" t="str">
            <v/>
          </cell>
          <cell r="AZ37">
            <v>8</v>
          </cell>
          <cell r="BB37">
            <v>2</v>
          </cell>
          <cell r="BC37" t="str">
            <v>GOLFETT PLOEREN 2</v>
          </cell>
          <cell r="BD37">
            <v>17.000094423364974</v>
          </cell>
          <cell r="BE37">
            <v>7</v>
          </cell>
          <cell r="BF37">
            <v>5</v>
          </cell>
          <cell r="BG37">
            <v>0</v>
          </cell>
          <cell r="BH37">
            <v>2</v>
          </cell>
          <cell r="BI37">
            <v>62</v>
          </cell>
          <cell r="BJ37">
            <v>36</v>
          </cell>
          <cell r="BL37" t="str">
            <v>-</v>
          </cell>
          <cell r="BM37" t="str">
            <v>PLUNERET/MERIAD 4</v>
          </cell>
          <cell r="BN37">
            <v>16.000012515850084</v>
          </cell>
          <cell r="BO37">
            <v>6</v>
          </cell>
          <cell r="BP37">
            <v>5</v>
          </cell>
          <cell r="BQ37">
            <v>0</v>
          </cell>
          <cell r="BR37">
            <v>1</v>
          </cell>
          <cell r="BS37">
            <v>62</v>
          </cell>
          <cell r="BT37">
            <v>22</v>
          </cell>
          <cell r="BY37">
            <v>2.7228375132221464E-5</v>
          </cell>
          <cell r="BZ37" t="str">
            <v/>
          </cell>
          <cell r="CA37">
            <v>6.7438184830185716E-5</v>
          </cell>
          <cell r="CB37" t="str">
            <v/>
          </cell>
          <cell r="CC37">
            <v>4.4265130025767413E-5</v>
          </cell>
          <cell r="CD37" t="str">
            <v/>
          </cell>
          <cell r="CE37">
            <v>7.4288138417018777E-5</v>
          </cell>
          <cell r="CF37" t="str">
            <v/>
          </cell>
          <cell r="CG37">
            <v>6.6894615129238667E-6</v>
          </cell>
          <cell r="CH37" t="str">
            <v/>
          </cell>
          <cell r="CI37">
            <v>2.28963177923615E-5</v>
          </cell>
          <cell r="CJ37" t="str">
            <v/>
          </cell>
          <cell r="CK37">
            <v>6.2888218081032018E-5</v>
          </cell>
          <cell r="CL37" t="str">
            <v/>
          </cell>
          <cell r="CM37">
            <v>6.0000474487288393</v>
          </cell>
          <cell r="CN37" t="str">
            <v>Sail Anthony</v>
          </cell>
          <cell r="CP37">
            <v>6.0083883368702047</v>
          </cell>
          <cell r="CQ37">
            <v>0</v>
          </cell>
          <cell r="CR37">
            <v>0</v>
          </cell>
          <cell r="CS37">
            <v>0</v>
          </cell>
          <cell r="CT37">
            <v>0</v>
          </cell>
          <cell r="CU37">
            <v>0</v>
          </cell>
          <cell r="CV37">
            <v>0</v>
          </cell>
          <cell r="CW37">
            <v>0</v>
          </cell>
          <cell r="CX37">
            <v>3</v>
          </cell>
          <cell r="CY37">
            <v>3</v>
          </cell>
          <cell r="CZ37">
            <v>3</v>
          </cell>
          <cell r="DA37">
            <v>3</v>
          </cell>
          <cell r="DB37">
            <v>0</v>
          </cell>
          <cell r="DC37">
            <v>3</v>
          </cell>
          <cell r="DD37">
            <v>3</v>
          </cell>
          <cell r="DE37">
            <v>3</v>
          </cell>
          <cell r="DG37">
            <v>18</v>
          </cell>
          <cell r="DH37">
            <v>0.16667125703441801</v>
          </cell>
          <cell r="DJ37">
            <v>18.620948912436067</v>
          </cell>
          <cell r="DK37" t="str">
            <v>Sail Anthony</v>
          </cell>
        </row>
        <row r="38">
          <cell r="A38" t="str">
            <v>Ravel Serge</v>
          </cell>
          <cell r="B38">
            <v>8</v>
          </cell>
          <cell r="J38">
            <v>8</v>
          </cell>
          <cell r="K38">
            <v>8</v>
          </cell>
          <cell r="L38">
            <v>8</v>
          </cell>
          <cell r="M38">
            <v>8</v>
          </cell>
          <cell r="O38">
            <v>8</v>
          </cell>
          <cell r="P38">
            <v>8</v>
          </cell>
          <cell r="Q38">
            <v>0</v>
          </cell>
          <cell r="Y38">
            <v>0</v>
          </cell>
          <cell r="Z38">
            <v>0</v>
          </cell>
          <cell r="AA38">
            <v>1</v>
          </cell>
          <cell r="AC38">
            <v>3</v>
          </cell>
          <cell r="AD38">
            <v>1</v>
          </cell>
          <cell r="AE38">
            <v>6</v>
          </cell>
          <cell r="AF38">
            <v>0</v>
          </cell>
          <cell r="AG38">
            <v>0</v>
          </cell>
          <cell r="AH38" t="str">
            <v>X</v>
          </cell>
          <cell r="AI38">
            <v>5</v>
          </cell>
          <cell r="AJ38">
            <v>18</v>
          </cell>
          <cell r="AK38">
            <v>0.27778714473597604</v>
          </cell>
          <cell r="AL38">
            <v>5</v>
          </cell>
          <cell r="AM38">
            <v>18</v>
          </cell>
          <cell r="AN38">
            <v>0.27778536139276155</v>
          </cell>
          <cell r="AO38">
            <v>8.0003861166031012</v>
          </cell>
          <cell r="AP38">
            <v>8.0002691453051522</v>
          </cell>
          <cell r="AQ38">
            <v>8.0023791831560622</v>
          </cell>
          <cell r="AR38">
            <v>8.0044409544887891</v>
          </cell>
          <cell r="AS38">
            <v>8.0002583157696598</v>
          </cell>
          <cell r="AT38" t="str">
            <v>e</v>
          </cell>
          <cell r="AU38">
            <v>8.0033783791521724</v>
          </cell>
          <cell r="AV38">
            <v>8.0044147175940576</v>
          </cell>
          <cell r="AX38" t="str">
            <v>Ravel Serge</v>
          </cell>
          <cell r="AY38" t="str">
            <v/>
          </cell>
          <cell r="AZ38">
            <v>8</v>
          </cell>
          <cell r="BB38">
            <v>3</v>
          </cell>
          <cell r="BC38" t="str">
            <v>TT QUIBERON 1</v>
          </cell>
          <cell r="BD38">
            <v>14.000077153885668</v>
          </cell>
          <cell r="BE38">
            <v>7</v>
          </cell>
          <cell r="BF38">
            <v>3</v>
          </cell>
          <cell r="BG38">
            <v>1</v>
          </cell>
          <cell r="BH38">
            <v>3</v>
          </cell>
          <cell r="BI38">
            <v>51</v>
          </cell>
          <cell r="BJ38">
            <v>47</v>
          </cell>
          <cell r="BL38">
            <v>3</v>
          </cell>
          <cell r="BM38" t="str">
            <v>ES PLESCOP TT 7</v>
          </cell>
          <cell r="BN38">
            <v>13.0000019872301</v>
          </cell>
          <cell r="BO38">
            <v>6</v>
          </cell>
          <cell r="BP38">
            <v>3</v>
          </cell>
          <cell r="BQ38">
            <v>1</v>
          </cell>
          <cell r="BR38">
            <v>2</v>
          </cell>
          <cell r="BS38">
            <v>46</v>
          </cell>
          <cell r="BT38">
            <v>38</v>
          </cell>
          <cell r="BY38">
            <v>9.5190303138967855E-5</v>
          </cell>
          <cell r="BZ38" t="str">
            <v/>
          </cell>
          <cell r="CA38">
            <v>4.7107257353914737E-5</v>
          </cell>
          <cell r="CB38" t="str">
            <v/>
          </cell>
          <cell r="CC38">
            <v>8.3009920692194051E-5</v>
          </cell>
          <cell r="CD38" t="str">
            <v/>
          </cell>
          <cell r="CE38">
            <v>3.2773463950633729E-5</v>
          </cell>
          <cell r="CF38" t="str">
            <v/>
          </cell>
          <cell r="CG38">
            <v>6.2383063556652375E-5</v>
          </cell>
          <cell r="CH38" t="str">
            <v/>
          </cell>
          <cell r="CI38">
            <v>1.0731614171928539E-5</v>
          </cell>
          <cell r="CJ38" t="str">
            <v/>
          </cell>
          <cell r="CK38">
            <v>8.4788662060031881E-5</v>
          </cell>
          <cell r="CL38" t="str">
            <v/>
          </cell>
          <cell r="CM38">
            <v>6.0000799275796313</v>
          </cell>
          <cell r="CN38" t="str">
            <v>Ravel Serge</v>
          </cell>
          <cell r="CP38">
            <v>6.0047305949007592</v>
          </cell>
          <cell r="CQ38">
            <v>0</v>
          </cell>
          <cell r="CR38">
            <v>0</v>
          </cell>
          <cell r="CS38">
            <v>0</v>
          </cell>
          <cell r="CT38">
            <v>0</v>
          </cell>
          <cell r="CU38">
            <v>0</v>
          </cell>
          <cell r="CV38">
            <v>0</v>
          </cell>
          <cell r="CW38">
            <v>0</v>
          </cell>
          <cell r="CX38">
            <v>3</v>
          </cell>
          <cell r="CY38">
            <v>3</v>
          </cell>
          <cell r="CZ38">
            <v>3</v>
          </cell>
          <cell r="DA38">
            <v>3</v>
          </cell>
          <cell r="DB38">
            <v>0</v>
          </cell>
          <cell r="DC38">
            <v>3</v>
          </cell>
          <cell r="DD38">
            <v>3</v>
          </cell>
          <cell r="DE38">
            <v>5</v>
          </cell>
          <cell r="DG38">
            <v>18</v>
          </cell>
          <cell r="DH38">
            <v>0.27784364628483782</v>
          </cell>
          <cell r="DJ38">
            <v>18.904449302478589</v>
          </cell>
          <cell r="DK38" t="str">
            <v>Ravel Serge</v>
          </cell>
        </row>
        <row r="39">
          <cell r="A39" t="str">
            <v>Faulkner Thierry</v>
          </cell>
          <cell r="B39">
            <v>9</v>
          </cell>
          <cell r="J39">
            <v>2</v>
          </cell>
          <cell r="M39">
            <v>2</v>
          </cell>
          <cell r="O39">
            <v>2</v>
          </cell>
          <cell r="P39">
            <v>2</v>
          </cell>
          <cell r="X39">
            <v>3</v>
          </cell>
          <cell r="AA39">
            <v>3</v>
          </cell>
          <cell r="AC39">
            <v>2</v>
          </cell>
          <cell r="AD39">
            <v>3</v>
          </cell>
          <cell r="AE39">
            <v>4</v>
          </cell>
          <cell r="AF39">
            <v>0</v>
          </cell>
          <cell r="AG39">
            <v>0</v>
          </cell>
          <cell r="AH39" t="str">
            <v>X</v>
          </cell>
          <cell r="AI39">
            <v>11</v>
          </cell>
          <cell r="AJ39">
            <v>12</v>
          </cell>
          <cell r="AK39">
            <v>0.91666701951497476</v>
          </cell>
          <cell r="AL39">
            <v>11</v>
          </cell>
          <cell r="AM39">
            <v>12</v>
          </cell>
          <cell r="AN39" t="str">
            <v>NS</v>
          </cell>
          <cell r="AO39">
            <v>9.0024783298166877</v>
          </cell>
          <cell r="AP39">
            <v>2.0063019796103521</v>
          </cell>
          <cell r="AQ39" t="str">
            <v>e</v>
          </cell>
          <cell r="AR39" t="str">
            <v>e</v>
          </cell>
          <cell r="AS39">
            <v>2.0052808305292009</v>
          </cell>
          <cell r="AT39" t="str">
            <v>e</v>
          </cell>
          <cell r="AU39">
            <v>2.0075793634082006</v>
          </cell>
          <cell r="AV39">
            <v>2.0059442147846593</v>
          </cell>
          <cell r="AX39" t="str">
            <v>Faulkner Thierry</v>
          </cell>
          <cell r="AY39" t="str">
            <v/>
          </cell>
          <cell r="AZ39">
            <v>2</v>
          </cell>
          <cell r="BB39">
            <v>4</v>
          </cell>
          <cell r="BC39" t="str">
            <v>BAUD TT 3</v>
          </cell>
          <cell r="BD39">
            <v>13.00009016263078</v>
          </cell>
          <cell r="BE39">
            <v>7</v>
          </cell>
          <cell r="BF39">
            <v>3</v>
          </cell>
          <cell r="BG39">
            <v>0</v>
          </cell>
          <cell r="BH39">
            <v>4</v>
          </cell>
          <cell r="BI39">
            <v>43</v>
          </cell>
          <cell r="BJ39">
            <v>55</v>
          </cell>
          <cell r="BL39">
            <v>4</v>
          </cell>
          <cell r="BM39" t="str">
            <v>GOLFETT PLOEREN 4</v>
          </cell>
          <cell r="BN39">
            <v>12.000098908508861</v>
          </cell>
          <cell r="BO39">
            <v>6</v>
          </cell>
          <cell r="BP39">
            <v>3</v>
          </cell>
          <cell r="BQ39">
            <v>0</v>
          </cell>
          <cell r="BR39">
            <v>3</v>
          </cell>
          <cell r="BS39">
            <v>36</v>
          </cell>
          <cell r="BT39">
            <v>48</v>
          </cell>
          <cell r="BY39">
            <v>6.9647605165157927E-5</v>
          </cell>
          <cell r="BZ39" t="str">
            <v/>
          </cell>
          <cell r="CA39">
            <v>4.0000148364448531</v>
          </cell>
          <cell r="CB39" t="str">
            <v>Faulkner Thierry</v>
          </cell>
          <cell r="CC39">
            <v>8.8599566133875195E-5</v>
          </cell>
          <cell r="CD39" t="str">
            <v/>
          </cell>
          <cell r="CE39">
            <v>9.9799540018163939E-8</v>
          </cell>
          <cell r="CF39" t="str">
            <v/>
          </cell>
          <cell r="CG39">
            <v>9.9038152367932083E-5</v>
          </cell>
          <cell r="CH39" t="str">
            <v/>
          </cell>
          <cell r="CI39">
            <v>4.5533359047200899E-5</v>
          </cell>
          <cell r="CJ39" t="str">
            <v/>
          </cell>
          <cell r="CK39">
            <v>4.6268304734077326E-5</v>
          </cell>
          <cell r="CL39" t="str">
            <v/>
          </cell>
          <cell r="CM39">
            <v>1.7791679558120367E-5</v>
          </cell>
          <cell r="CN39" t="str">
            <v/>
          </cell>
          <cell r="CP39">
            <v>4.0007190654736666</v>
          </cell>
          <cell r="CQ39">
            <v>0</v>
          </cell>
          <cell r="CR39">
            <v>0</v>
          </cell>
          <cell r="CS39">
            <v>0</v>
          </cell>
          <cell r="CT39">
            <v>0</v>
          </cell>
          <cell r="CU39">
            <v>0</v>
          </cell>
          <cell r="CV39">
            <v>0</v>
          </cell>
          <cell r="CW39">
            <v>0</v>
          </cell>
          <cell r="CX39">
            <v>3</v>
          </cell>
          <cell r="CY39">
            <v>0</v>
          </cell>
          <cell r="CZ39">
            <v>0</v>
          </cell>
          <cell r="DA39">
            <v>3</v>
          </cell>
          <cell r="DB39">
            <v>0</v>
          </cell>
          <cell r="DC39">
            <v>3</v>
          </cell>
          <cell r="DD39">
            <v>3</v>
          </cell>
          <cell r="DE39">
            <v>14</v>
          </cell>
          <cell r="DG39">
            <v>23</v>
          </cell>
          <cell r="DH39">
            <v>0.6087169675264702</v>
          </cell>
          <cell r="DJ39">
            <v>23.215790053366099</v>
          </cell>
          <cell r="DK39" t="str">
            <v>Faulkner Thierry</v>
          </cell>
        </row>
        <row r="40">
          <cell r="A40" t="str">
            <v>Simon Titouan</v>
          </cell>
          <cell r="B40">
            <v>9</v>
          </cell>
          <cell r="O40">
            <v>7</v>
          </cell>
          <cell r="AC40">
            <v>0</v>
          </cell>
          <cell r="AE40">
            <v>1</v>
          </cell>
          <cell r="AF40">
            <v>0</v>
          </cell>
          <cell r="AG40">
            <v>0</v>
          </cell>
          <cell r="AH40" t="str">
            <v>X</v>
          </cell>
          <cell r="AI40">
            <v>0</v>
          </cell>
          <cell r="AJ40">
            <v>3</v>
          </cell>
          <cell r="AK40" t="str">
            <v>NS</v>
          </cell>
          <cell r="AL40">
            <v>0</v>
          </cell>
          <cell r="AM40">
            <v>3</v>
          </cell>
          <cell r="AN40" t="str">
            <v>NS</v>
          </cell>
          <cell r="AO40">
            <v>9.0095382759457312</v>
          </cell>
          <cell r="AP40" t="str">
            <v>e</v>
          </cell>
          <cell r="AQ40" t="str">
            <v>e</v>
          </cell>
          <cell r="AR40" t="str">
            <v>e</v>
          </cell>
          <cell r="AS40" t="str">
            <v>e</v>
          </cell>
          <cell r="AT40" t="str">
            <v>e</v>
          </cell>
          <cell r="AU40">
            <v>7.0047100428061286</v>
          </cell>
          <cell r="AV40" t="str">
            <v>e</v>
          </cell>
          <cell r="AX40" t="str">
            <v>Simon Titouan</v>
          </cell>
          <cell r="AY40" t="str">
            <v/>
          </cell>
          <cell r="AZ40" t="str">
            <v/>
          </cell>
          <cell r="BB40" t="str">
            <v>-</v>
          </cell>
          <cell r="BC40" t="str">
            <v>TT ERDEVEN-BELZ 1</v>
          </cell>
          <cell r="BD40">
            <v>13.000065330690823</v>
          </cell>
          <cell r="BE40">
            <v>5</v>
          </cell>
          <cell r="BF40">
            <v>4</v>
          </cell>
          <cell r="BG40">
            <v>0</v>
          </cell>
          <cell r="BH40">
            <v>1</v>
          </cell>
          <cell r="BI40">
            <v>48</v>
          </cell>
          <cell r="BJ40">
            <v>22</v>
          </cell>
          <cell r="BL40">
            <v>5</v>
          </cell>
          <cell r="BM40" t="str">
            <v>CTT MENIMUR 7</v>
          </cell>
          <cell r="BN40">
            <v>11.000030322107373</v>
          </cell>
          <cell r="BO40">
            <v>6</v>
          </cell>
          <cell r="BP40">
            <v>2</v>
          </cell>
          <cell r="BQ40">
            <v>1</v>
          </cell>
          <cell r="BR40">
            <v>3</v>
          </cell>
          <cell r="BS40">
            <v>40</v>
          </cell>
          <cell r="BT40">
            <v>44</v>
          </cell>
          <cell r="BY40">
            <v>1.1160491282179041E-5</v>
          </cell>
          <cell r="BZ40" t="str">
            <v/>
          </cell>
          <cell r="CA40">
            <v>1.7279205795130603E-5</v>
          </cell>
          <cell r="CB40" t="str">
            <v/>
          </cell>
          <cell r="CC40">
            <v>4.150767038129485E-5</v>
          </cell>
          <cell r="CD40" t="str">
            <v/>
          </cell>
          <cell r="CE40">
            <v>9.7451531596585923E-5</v>
          </cell>
          <cell r="CF40" t="str">
            <v/>
          </cell>
          <cell r="CG40">
            <v>4.7878684976097752E-5</v>
          </cell>
          <cell r="CH40" t="str">
            <v/>
          </cell>
          <cell r="CI40">
            <v>5.7735712268927719E-5</v>
          </cell>
          <cell r="CJ40" t="str">
            <v/>
          </cell>
          <cell r="CK40">
            <v>1.0000880678534274</v>
          </cell>
          <cell r="CL40" t="str">
            <v>Simon Titouan</v>
          </cell>
          <cell r="CM40">
            <v>8.6077462057439506E-5</v>
          </cell>
          <cell r="CN40" t="str">
            <v/>
          </cell>
          <cell r="CP40">
            <v>1.0064923170430402</v>
          </cell>
          <cell r="CQ40">
            <v>0</v>
          </cell>
          <cell r="CR40">
            <v>0</v>
          </cell>
          <cell r="CS40">
            <v>0</v>
          </cell>
          <cell r="CT40">
            <v>0</v>
          </cell>
          <cell r="CU40">
            <v>0</v>
          </cell>
          <cell r="CV40">
            <v>0</v>
          </cell>
          <cell r="CW40">
            <v>0</v>
          </cell>
          <cell r="CX40">
            <v>0</v>
          </cell>
          <cell r="CY40">
            <v>0</v>
          </cell>
          <cell r="CZ40">
            <v>0</v>
          </cell>
          <cell r="DA40">
            <v>0</v>
          </cell>
          <cell r="DB40">
            <v>0</v>
          </cell>
          <cell r="DC40">
            <v>3</v>
          </cell>
          <cell r="DD40">
            <v>0</v>
          </cell>
          <cell r="DE40">
            <v>9</v>
          </cell>
          <cell r="DG40">
            <v>33</v>
          </cell>
          <cell r="DH40">
            <v>0.27276474219874514</v>
          </cell>
          <cell r="DJ40">
            <v>33.684364747578392</v>
          </cell>
          <cell r="DK40" t="str">
            <v>Simon Titouan</v>
          </cell>
        </row>
        <row r="41">
          <cell r="A41" t="str">
            <v>Trin Kilian</v>
          </cell>
          <cell r="B41">
            <v>9</v>
          </cell>
          <cell r="K41">
            <v>1</v>
          </cell>
          <cell r="L41">
            <v>1</v>
          </cell>
          <cell r="Y41">
            <v>1</v>
          </cell>
          <cell r="Z41">
            <v>2</v>
          </cell>
          <cell r="AE41">
            <v>2</v>
          </cell>
          <cell r="AF41">
            <v>0</v>
          </cell>
          <cell r="AG41">
            <v>0</v>
          </cell>
          <cell r="AH41" t="str">
            <v>X</v>
          </cell>
          <cell r="AI41">
            <v>3</v>
          </cell>
          <cell r="AJ41">
            <v>6</v>
          </cell>
          <cell r="AK41">
            <v>0.50000974400786191</v>
          </cell>
          <cell r="AL41">
            <v>3</v>
          </cell>
          <cell r="AM41">
            <v>6</v>
          </cell>
          <cell r="AN41" t="str">
            <v>NS</v>
          </cell>
          <cell r="AO41">
            <v>9.0026401695225697</v>
          </cell>
          <cell r="AP41" t="str">
            <v>e</v>
          </cell>
          <cell r="AQ41">
            <v>1.0058965680901761</v>
          </cell>
          <cell r="AR41">
            <v>1.0061774108998427</v>
          </cell>
          <cell r="AS41" t="str">
            <v>e</v>
          </cell>
          <cell r="AT41" t="str">
            <v>e</v>
          </cell>
          <cell r="AU41" t="str">
            <v>e</v>
          </cell>
          <cell r="AV41" t="str">
            <v>e</v>
          </cell>
          <cell r="AX41" t="str">
            <v>Trin Kilian</v>
          </cell>
          <cell r="AY41" t="str">
            <v/>
          </cell>
          <cell r="AZ41">
            <v>1</v>
          </cell>
          <cell r="BB41">
            <v>6</v>
          </cell>
          <cell r="BC41" t="str">
            <v>AJK VANNES 5</v>
          </cell>
          <cell r="BD41">
            <v>11.0000936543503</v>
          </cell>
          <cell r="BE41">
            <v>7</v>
          </cell>
          <cell r="BF41">
            <v>2</v>
          </cell>
          <cell r="BG41">
            <v>0</v>
          </cell>
          <cell r="BH41">
            <v>5</v>
          </cell>
          <cell r="BI41">
            <v>46</v>
          </cell>
          <cell r="BJ41">
            <v>52</v>
          </cell>
          <cell r="BL41">
            <v>6</v>
          </cell>
          <cell r="BM41" t="str">
            <v>MUZILLAC TT 8</v>
          </cell>
          <cell r="BN41">
            <v>9.0000312649712857</v>
          </cell>
          <cell r="BO41">
            <v>6</v>
          </cell>
          <cell r="BP41">
            <v>1</v>
          </cell>
          <cell r="BQ41">
            <v>1</v>
          </cell>
          <cell r="BR41">
            <v>4</v>
          </cell>
          <cell r="BS41">
            <v>27</v>
          </cell>
          <cell r="BT41">
            <v>57</v>
          </cell>
          <cell r="BY41">
            <v>2.0000124665487888</v>
          </cell>
          <cell r="BZ41" t="str">
            <v>Trin Kilian</v>
          </cell>
          <cell r="CA41">
            <v>7.3293122541842143E-5</v>
          </cell>
          <cell r="CB41" t="str">
            <v/>
          </cell>
          <cell r="CC41">
            <v>7.073952554291885E-5</v>
          </cell>
          <cell r="CD41" t="str">
            <v/>
          </cell>
          <cell r="CE41">
            <v>7.5543818170693555E-6</v>
          </cell>
          <cell r="CF41" t="str">
            <v/>
          </cell>
          <cell r="CG41">
            <v>1.8583784210377874E-6</v>
          </cell>
          <cell r="CH41" t="str">
            <v/>
          </cell>
          <cell r="CI41">
            <v>3.3935040573928535E-5</v>
          </cell>
          <cell r="CJ41" t="str">
            <v/>
          </cell>
          <cell r="CK41">
            <v>9.4837741905131825E-5</v>
          </cell>
          <cell r="CL41" t="str">
            <v/>
          </cell>
          <cell r="CM41">
            <v>3.193988603688898E-5</v>
          </cell>
          <cell r="CN41" t="str">
            <v/>
          </cell>
          <cell r="CP41">
            <v>2.0052141578638896</v>
          </cell>
          <cell r="CQ41">
            <v>0</v>
          </cell>
          <cell r="CR41">
            <v>0</v>
          </cell>
          <cell r="CS41">
            <v>0</v>
          </cell>
          <cell r="CT41">
            <v>0</v>
          </cell>
          <cell r="CU41">
            <v>0</v>
          </cell>
          <cell r="CV41">
            <v>0</v>
          </cell>
          <cell r="CW41">
            <v>0</v>
          </cell>
          <cell r="CX41">
            <v>0</v>
          </cell>
          <cell r="CY41">
            <v>3</v>
          </cell>
          <cell r="CZ41">
            <v>3</v>
          </cell>
          <cell r="DA41">
            <v>0</v>
          </cell>
          <cell r="DB41">
            <v>0</v>
          </cell>
          <cell r="DC41">
            <v>0</v>
          </cell>
          <cell r="DD41">
            <v>0</v>
          </cell>
          <cell r="DE41">
            <v>3</v>
          </cell>
          <cell r="DG41">
            <v>6</v>
          </cell>
          <cell r="DH41">
            <v>0.50000361711842811</v>
          </cell>
          <cell r="DJ41">
            <v>6.8376540432204154</v>
          </cell>
          <cell r="DK41" t="str">
            <v>Trin Kilian</v>
          </cell>
        </row>
        <row r="42">
          <cell r="A42" t="str">
            <v>Ayoul-Bellot Thais</v>
          </cell>
          <cell r="B42">
            <v>9</v>
          </cell>
          <cell r="O42">
            <v>7</v>
          </cell>
          <cell r="AC42">
            <v>0</v>
          </cell>
          <cell r="AE42">
            <v>1</v>
          </cell>
          <cell r="AF42">
            <v>0</v>
          </cell>
          <cell r="AG42">
            <v>0</v>
          </cell>
          <cell r="AH42" t="str">
            <v>X</v>
          </cell>
          <cell r="AI42">
            <v>0</v>
          </cell>
          <cell r="AJ42">
            <v>3</v>
          </cell>
          <cell r="AK42" t="str">
            <v>NS</v>
          </cell>
          <cell r="AL42">
            <v>0</v>
          </cell>
          <cell r="AM42">
            <v>3</v>
          </cell>
          <cell r="AN42" t="str">
            <v>NS</v>
          </cell>
          <cell r="AO42">
            <v>9.0007499764074925</v>
          </cell>
          <cell r="AP42" t="str">
            <v>e</v>
          </cell>
          <cell r="AQ42" t="str">
            <v>e</v>
          </cell>
          <cell r="AR42" t="str">
            <v>e</v>
          </cell>
          <cell r="AS42" t="str">
            <v>e</v>
          </cell>
          <cell r="AT42" t="str">
            <v>e</v>
          </cell>
          <cell r="AU42">
            <v>7.0062919560331416</v>
          </cell>
          <cell r="AV42" t="str">
            <v>e</v>
          </cell>
          <cell r="AX42" t="str">
            <v>Ayoul-Bellot Thais</v>
          </cell>
          <cell r="AY42" t="str">
            <v/>
          </cell>
          <cell r="AZ42" t="str">
            <v/>
          </cell>
          <cell r="BB42">
            <v>7</v>
          </cell>
          <cell r="BC42" t="str">
            <v>AL PLOEMEUR 8</v>
          </cell>
          <cell r="BD42">
            <v>10.000047295362281</v>
          </cell>
          <cell r="BE42">
            <v>6</v>
          </cell>
          <cell r="BF42">
            <v>2</v>
          </cell>
          <cell r="BG42">
            <v>0</v>
          </cell>
          <cell r="BH42">
            <v>4</v>
          </cell>
          <cell r="BI42">
            <v>25</v>
          </cell>
          <cell r="BJ42">
            <v>59</v>
          </cell>
          <cell r="BL42">
            <v>7</v>
          </cell>
          <cell r="BM42" t="str">
            <v>AS ST PHILIBERT 3</v>
          </cell>
          <cell r="BN42">
            <v>7.0000225494893424</v>
          </cell>
          <cell r="BO42">
            <v>6</v>
          </cell>
          <cell r="BP42">
            <v>0</v>
          </cell>
          <cell r="BQ42">
            <v>1</v>
          </cell>
          <cell r="BR42">
            <v>5</v>
          </cell>
          <cell r="BS42">
            <v>21</v>
          </cell>
          <cell r="BT42">
            <v>63</v>
          </cell>
          <cell r="BY42">
            <v>9.0598862835295022E-5</v>
          </cell>
          <cell r="BZ42" t="str">
            <v/>
          </cell>
          <cell r="CA42">
            <v>9.9115790219459166E-5</v>
          </cell>
          <cell r="CB42" t="str">
            <v/>
          </cell>
          <cell r="CC42">
            <v>6.5791271691487878E-5</v>
          </cell>
          <cell r="CD42" t="str">
            <v/>
          </cell>
          <cell r="CE42">
            <v>1.9553189050181563E-5</v>
          </cell>
          <cell r="CF42" t="str">
            <v/>
          </cell>
          <cell r="CG42">
            <v>9.8932123878448753E-6</v>
          </cell>
          <cell r="CH42" t="str">
            <v/>
          </cell>
          <cell r="CI42">
            <v>1.2757809161634615E-5</v>
          </cell>
          <cell r="CJ42" t="str">
            <v/>
          </cell>
          <cell r="CK42">
            <v>1.0000679253523646</v>
          </cell>
          <cell r="CL42" t="str">
            <v>Ayoul-Bellot Thais</v>
          </cell>
          <cell r="CM42">
            <v>6.4012727145508244E-5</v>
          </cell>
          <cell r="CN42" t="str">
            <v/>
          </cell>
          <cell r="CP42">
            <v>1.0069411514431301</v>
          </cell>
          <cell r="CQ42">
            <v>0</v>
          </cell>
          <cell r="CR42">
            <v>0</v>
          </cell>
          <cell r="CS42">
            <v>0</v>
          </cell>
          <cell r="CT42">
            <v>0</v>
          </cell>
          <cell r="CU42">
            <v>0</v>
          </cell>
          <cell r="CV42">
            <v>0</v>
          </cell>
          <cell r="CW42">
            <v>0</v>
          </cell>
          <cell r="CX42">
            <v>0</v>
          </cell>
          <cell r="CY42">
            <v>0</v>
          </cell>
          <cell r="CZ42">
            <v>0</v>
          </cell>
          <cell r="DA42">
            <v>0</v>
          </cell>
          <cell r="DB42">
            <v>0</v>
          </cell>
          <cell r="DC42">
            <v>3</v>
          </cell>
          <cell r="DD42">
            <v>0</v>
          </cell>
          <cell r="DE42">
            <v>2</v>
          </cell>
          <cell r="DG42">
            <v>18</v>
          </cell>
          <cell r="DH42">
            <v>0.11119867485718127</v>
          </cell>
          <cell r="DJ42">
            <v>18.898202470007643</v>
          </cell>
          <cell r="DK42" t="str">
            <v>Ayoul-Bellot Thais</v>
          </cell>
        </row>
        <row r="43">
          <cell r="A43" t="str">
            <v>Cojean Gwendal</v>
          </cell>
          <cell r="B43">
            <v>9</v>
          </cell>
          <cell r="O43">
            <v>7</v>
          </cell>
          <cell r="AC43">
            <v>0</v>
          </cell>
          <cell r="AE43">
            <v>1</v>
          </cell>
          <cell r="AF43">
            <v>0</v>
          </cell>
          <cell r="AG43">
            <v>0</v>
          </cell>
          <cell r="AH43" t="str">
            <v>X</v>
          </cell>
          <cell r="AI43">
            <v>0</v>
          </cell>
          <cell r="AJ43">
            <v>3</v>
          </cell>
          <cell r="AK43" t="str">
            <v>NS</v>
          </cell>
          <cell r="AL43">
            <v>0</v>
          </cell>
          <cell r="AM43">
            <v>3</v>
          </cell>
          <cell r="AN43" t="str">
            <v>NS</v>
          </cell>
          <cell r="AO43">
            <v>9.0076262704125991</v>
          </cell>
          <cell r="AP43" t="str">
            <v>e</v>
          </cell>
          <cell r="AQ43" t="str">
            <v>e</v>
          </cell>
          <cell r="AR43" t="str">
            <v>e</v>
          </cell>
          <cell r="AS43" t="str">
            <v>e</v>
          </cell>
          <cell r="AT43" t="str">
            <v>e</v>
          </cell>
          <cell r="AU43">
            <v>7.0086364234638481</v>
          </cell>
          <cell r="AV43" t="str">
            <v>e</v>
          </cell>
          <cell r="AX43" t="str">
            <v>Cojean Gwendal</v>
          </cell>
          <cell r="AY43" t="str">
            <v/>
          </cell>
          <cell r="AZ43" t="str">
            <v/>
          </cell>
          <cell r="BB43">
            <v>7</v>
          </cell>
          <cell r="BC43" t="str">
            <v>MUZILLAC TT 7</v>
          </cell>
          <cell r="BD43">
            <v>8.0000308160880067</v>
          </cell>
          <cell r="BE43">
            <v>7</v>
          </cell>
          <cell r="BF43">
            <v>0</v>
          </cell>
          <cell r="BG43">
            <v>1</v>
          </cell>
          <cell r="BH43">
            <v>6</v>
          </cell>
          <cell r="BI43">
            <v>24</v>
          </cell>
          <cell r="BJ43">
            <v>74</v>
          </cell>
          <cell r="BL43">
            <v>7</v>
          </cell>
          <cell r="BM43" t="str">
            <v>Exempt</v>
          </cell>
          <cell r="BN43">
            <v>5.1130897849606051E-5</v>
          </cell>
          <cell r="BO43">
            <v>0</v>
          </cell>
          <cell r="BP43">
            <v>0</v>
          </cell>
          <cell r="BQ43">
            <v>0</v>
          </cell>
          <cell r="BR43">
            <v>0</v>
          </cell>
          <cell r="BS43">
            <v>0</v>
          </cell>
          <cell r="BT43">
            <v>0</v>
          </cell>
          <cell r="BY43">
            <v>2.8233845334742081E-5</v>
          </cell>
          <cell r="BZ43" t="str">
            <v/>
          </cell>
          <cell r="CA43">
            <v>4.0950240476935978E-5</v>
          </cell>
          <cell r="CB43" t="str">
            <v/>
          </cell>
          <cell r="CC43">
            <v>2.1005757441342354E-5</v>
          </cell>
          <cell r="CD43" t="str">
            <v/>
          </cell>
          <cell r="CE43">
            <v>3.4697249297931965E-5</v>
          </cell>
          <cell r="CF43" t="str">
            <v/>
          </cell>
          <cell r="CG43">
            <v>6.5896348326626244E-5</v>
          </cell>
          <cell r="CH43" t="str">
            <v/>
          </cell>
          <cell r="CI43">
            <v>7.4802121269764067E-5</v>
          </cell>
          <cell r="CJ43" t="str">
            <v/>
          </cell>
          <cell r="CK43">
            <v>1.0000410873680552</v>
          </cell>
          <cell r="CL43" t="str">
            <v>Cojean Gwendal</v>
          </cell>
          <cell r="CM43">
            <v>5.5988027427339642E-5</v>
          </cell>
          <cell r="CN43" t="str">
            <v/>
          </cell>
          <cell r="CP43">
            <v>1.0037507636037419</v>
          </cell>
          <cell r="CQ43">
            <v>0</v>
          </cell>
          <cell r="CR43">
            <v>0</v>
          </cell>
          <cell r="CS43">
            <v>0</v>
          </cell>
          <cell r="CT43">
            <v>0</v>
          </cell>
          <cell r="CU43">
            <v>0</v>
          </cell>
          <cell r="CV43">
            <v>0</v>
          </cell>
          <cell r="CW43">
            <v>0</v>
          </cell>
          <cell r="CX43">
            <v>0</v>
          </cell>
          <cell r="CY43">
            <v>0</v>
          </cell>
          <cell r="CZ43">
            <v>0</v>
          </cell>
          <cell r="DA43">
            <v>0</v>
          </cell>
          <cell r="DB43">
            <v>0</v>
          </cell>
          <cell r="DC43">
            <v>3</v>
          </cell>
          <cell r="DD43">
            <v>0</v>
          </cell>
          <cell r="DE43">
            <v>2</v>
          </cell>
          <cell r="DG43">
            <v>14</v>
          </cell>
          <cell r="DH43">
            <v>0.14291773710556815</v>
          </cell>
          <cell r="DJ43">
            <v>14.759038962025269</v>
          </cell>
          <cell r="DK43" t="str">
            <v>Cojean Gwendal</v>
          </cell>
        </row>
        <row r="44">
          <cell r="A44" t="str">
            <v/>
          </cell>
          <cell r="B44" t="str">
            <v/>
          </cell>
          <cell r="AE44" t="str">
            <v/>
          </cell>
          <cell r="AF44">
            <v>0</v>
          </cell>
          <cell r="AG44">
            <v>0</v>
          </cell>
          <cell r="AH44" t="str">
            <v>X</v>
          </cell>
          <cell r="AI44">
            <v>0</v>
          </cell>
          <cell r="AJ44">
            <v>0</v>
          </cell>
          <cell r="AK44" t="str">
            <v>X</v>
          </cell>
          <cell r="AL44">
            <v>0</v>
          </cell>
          <cell r="AM44">
            <v>0</v>
          </cell>
          <cell r="AN44" t="str">
            <v>X</v>
          </cell>
          <cell r="AO44">
            <v>10</v>
          </cell>
          <cell r="AP44" t="str">
            <v>e</v>
          </cell>
          <cell r="AQ44" t="str">
            <v>e</v>
          </cell>
          <cell r="AR44" t="str">
            <v>e</v>
          </cell>
          <cell r="AS44" t="str">
            <v>e</v>
          </cell>
          <cell r="AT44" t="str">
            <v>e</v>
          </cell>
          <cell r="AU44" t="str">
            <v>e</v>
          </cell>
          <cell r="AV44" t="str">
            <v>e</v>
          </cell>
          <cell r="AX44" t="str">
            <v/>
          </cell>
          <cell r="AY44" t="str">
            <v/>
          </cell>
          <cell r="AZ44" t="str">
            <v/>
          </cell>
          <cell r="BB44" t="str">
            <v>*</v>
          </cell>
          <cell r="BC44" t="str">
            <v>Déf 14 - 0 contre GOLFETT PLOEREN 2</v>
          </cell>
          <cell r="BL44" t="str">
            <v>*</v>
          </cell>
          <cell r="BM44" t="str">
            <v>Déf 10 - 4 contre PLUNERET/MERIAD 4</v>
          </cell>
          <cell r="BY44">
            <v>3.863789806387966E-5</v>
          </cell>
          <cell r="BZ44" t="str">
            <v/>
          </cell>
          <cell r="CA44">
            <v>3.6362413676425263E-5</v>
          </cell>
          <cell r="CB44" t="str">
            <v/>
          </cell>
          <cell r="CC44">
            <v>1.3295020357020993E-5</v>
          </cell>
          <cell r="CD44" t="str">
            <v/>
          </cell>
          <cell r="CE44">
            <v>2.1807080743461162E-5</v>
          </cell>
          <cell r="CF44" t="str">
            <v/>
          </cell>
          <cell r="CG44">
            <v>1.7214294539645127E-5</v>
          </cell>
          <cell r="CH44" t="str">
            <v/>
          </cell>
          <cell r="CI44">
            <v>5.1278256296500848E-7</v>
          </cell>
          <cell r="CJ44" t="str">
            <v/>
          </cell>
          <cell r="CK44">
            <v>6.1486070629355568E-5</v>
          </cell>
          <cell r="CL44" t="str">
            <v/>
          </cell>
          <cell r="CM44">
            <v>3.7744922991583421E-5</v>
          </cell>
          <cell r="CN44" t="str">
            <v/>
          </cell>
          <cell r="CP44" t="e">
            <v>#VALUE!</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G44">
            <v>0</v>
          </cell>
          <cell r="DH44">
            <v>0</v>
          </cell>
          <cell r="DJ44">
            <v>0.54674442950952395</v>
          </cell>
          <cell r="DK44" t="str">
            <v/>
          </cell>
        </row>
        <row r="45">
          <cell r="A45" t="str">
            <v/>
          </cell>
          <cell r="B45" t="str">
            <v/>
          </cell>
          <cell r="AE45" t="str">
            <v/>
          </cell>
          <cell r="AF45">
            <v>0</v>
          </cell>
          <cell r="AG45">
            <v>0</v>
          </cell>
          <cell r="AH45" t="str">
            <v>X</v>
          </cell>
          <cell r="AI45">
            <v>0</v>
          </cell>
          <cell r="AJ45">
            <v>0</v>
          </cell>
          <cell r="AK45" t="str">
            <v>X</v>
          </cell>
          <cell r="AL45">
            <v>0</v>
          </cell>
          <cell r="AM45">
            <v>0</v>
          </cell>
          <cell r="AN45" t="str">
            <v>X</v>
          </cell>
          <cell r="AO45">
            <v>10</v>
          </cell>
          <cell r="AP45" t="str">
            <v>e</v>
          </cell>
          <cell r="AQ45" t="str">
            <v>e</v>
          </cell>
          <cell r="AR45" t="str">
            <v>e</v>
          </cell>
          <cell r="AS45" t="str">
            <v>e</v>
          </cell>
          <cell r="AT45" t="str">
            <v>e</v>
          </cell>
          <cell r="AU45" t="str">
            <v>e</v>
          </cell>
          <cell r="AV45" t="str">
            <v>e</v>
          </cell>
          <cell r="AX45" t="str">
            <v/>
          </cell>
          <cell r="AY45" t="str">
            <v/>
          </cell>
          <cell r="AZ45" t="str">
            <v/>
          </cell>
          <cell r="BB45" t="str">
            <v>Dur, Dur … !</v>
          </cell>
          <cell r="BL45" t="str">
            <v>Défaite honorable peine de promesses</v>
          </cell>
          <cell r="BY45">
            <v>3.7542343484941499E-5</v>
          </cell>
          <cell r="BZ45" t="str">
            <v/>
          </cell>
          <cell r="CA45">
            <v>2.2012284660784431E-5</v>
          </cell>
          <cell r="CB45" t="str">
            <v/>
          </cell>
          <cell r="CC45">
            <v>8.8665721967708564E-5</v>
          </cell>
          <cell r="CD45" t="str">
            <v/>
          </cell>
          <cell r="CE45">
            <v>7.8846519601288154E-5</v>
          </cell>
          <cell r="CF45" t="str">
            <v/>
          </cell>
          <cell r="CG45">
            <v>7.8654320211687904E-5</v>
          </cell>
          <cell r="CH45" t="str">
            <v/>
          </cell>
          <cell r="CI45">
            <v>1.4082305796707951E-5</v>
          </cell>
          <cell r="CJ45" t="str">
            <v/>
          </cell>
          <cell r="CK45">
            <v>7.4716587181778454E-5</v>
          </cell>
          <cell r="CL45" t="str">
            <v/>
          </cell>
          <cell r="CM45">
            <v>2.3418046122660255E-5</v>
          </cell>
          <cell r="CN45" t="str">
            <v/>
          </cell>
          <cell r="CP45" t="e">
            <v>#VALUE!</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G45">
            <v>0</v>
          </cell>
          <cell r="DH45">
            <v>0</v>
          </cell>
          <cell r="DJ45">
            <v>0.73814311423516232</v>
          </cell>
          <cell r="DK45" t="str">
            <v/>
          </cell>
        </row>
        <row r="46">
          <cell r="A46" t="str">
            <v/>
          </cell>
          <cell r="B46" t="str">
            <v/>
          </cell>
          <cell r="AE46" t="str">
            <v/>
          </cell>
          <cell r="AF46">
            <v>0</v>
          </cell>
          <cell r="AG46">
            <v>0</v>
          </cell>
          <cell r="AH46" t="str">
            <v>X</v>
          </cell>
          <cell r="AI46">
            <v>0</v>
          </cell>
          <cell r="AJ46">
            <v>0</v>
          </cell>
          <cell r="AK46" t="str">
            <v>X</v>
          </cell>
          <cell r="AL46">
            <v>0</v>
          </cell>
          <cell r="AM46">
            <v>0</v>
          </cell>
          <cell r="AN46" t="str">
            <v>X</v>
          </cell>
          <cell r="AO46">
            <v>10</v>
          </cell>
          <cell r="AP46" t="str">
            <v>e</v>
          </cell>
          <cell r="AQ46" t="str">
            <v>e</v>
          </cell>
          <cell r="AR46" t="str">
            <v>e</v>
          </cell>
          <cell r="AS46" t="str">
            <v>e</v>
          </cell>
          <cell r="AT46" t="str">
            <v>e</v>
          </cell>
          <cell r="AU46" t="str">
            <v>e</v>
          </cell>
          <cell r="AV46" t="str">
            <v>e</v>
          </cell>
          <cell r="AX46" t="str">
            <v/>
          </cell>
          <cell r="AY46" t="str">
            <v/>
          </cell>
          <cell r="AZ46" t="str">
            <v/>
          </cell>
          <cell r="BY46">
            <v>6.183028274253389E-5</v>
          </cell>
          <cell r="BZ46" t="str">
            <v/>
          </cell>
          <cell r="CA46">
            <v>5.9882252102844035E-6</v>
          </cell>
          <cell r="CB46" t="str">
            <v/>
          </cell>
          <cell r="CC46">
            <v>7.2707193843638197E-5</v>
          </cell>
          <cell r="CD46" t="str">
            <v/>
          </cell>
          <cell r="CE46">
            <v>6.5428410678742326E-5</v>
          </cell>
          <cell r="CF46" t="str">
            <v/>
          </cell>
          <cell r="CG46">
            <v>5.3116419615561385E-5</v>
          </cell>
          <cell r="CH46" t="str">
            <v/>
          </cell>
          <cell r="CI46">
            <v>3.1439413256300011E-5</v>
          </cell>
          <cell r="CJ46" t="str">
            <v/>
          </cell>
          <cell r="CK46">
            <v>7.6487358177844143E-6</v>
          </cell>
          <cell r="CL46" t="str">
            <v/>
          </cell>
          <cell r="CM46">
            <v>7.5365787655209713E-5</v>
          </cell>
          <cell r="CN46" t="str">
            <v/>
          </cell>
          <cell r="CP46" t="e">
            <v>#VALUE!</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G46">
            <v>0</v>
          </cell>
          <cell r="DH46">
            <v>0</v>
          </cell>
          <cell r="DJ46">
            <v>0.87777463006620171</v>
          </cell>
          <cell r="DK46" t="str">
            <v/>
          </cell>
        </row>
        <row r="47">
          <cell r="A47" t="str">
            <v/>
          </cell>
          <cell r="B47" t="str">
            <v/>
          </cell>
          <cell r="AE47" t="str">
            <v/>
          </cell>
          <cell r="AF47">
            <v>0</v>
          </cell>
          <cell r="AG47">
            <v>0</v>
          </cell>
          <cell r="AH47" t="str">
            <v>X</v>
          </cell>
          <cell r="AI47">
            <v>0</v>
          </cell>
          <cell r="AJ47">
            <v>0</v>
          </cell>
          <cell r="AK47" t="str">
            <v>X</v>
          </cell>
          <cell r="AL47">
            <v>0</v>
          </cell>
          <cell r="AM47">
            <v>0</v>
          </cell>
          <cell r="AN47" t="str">
            <v/>
          </cell>
          <cell r="AO47">
            <v>10</v>
          </cell>
          <cell r="AP47" t="str">
            <v>e</v>
          </cell>
          <cell r="AQ47" t="str">
            <v>e</v>
          </cell>
          <cell r="AR47" t="str">
            <v>e</v>
          </cell>
          <cell r="AS47" t="str">
            <v>e</v>
          </cell>
          <cell r="AT47" t="str">
            <v>e</v>
          </cell>
          <cell r="AU47" t="str">
            <v>e</v>
          </cell>
          <cell r="AV47" t="str">
            <v>e</v>
          </cell>
          <cell r="AX47" t="str">
            <v/>
          </cell>
          <cell r="AY47" t="str">
            <v/>
          </cell>
          <cell r="AZ47" t="str">
            <v/>
          </cell>
          <cell r="BC47" t="str">
            <v>Écart</v>
          </cell>
          <cell r="BD47" t="str">
            <v>V .Norm</v>
          </cell>
          <cell r="BE47" t="str">
            <v>D .Norm</v>
          </cell>
          <cell r="BF47" t="str">
            <v>V .Anorm</v>
          </cell>
          <cell r="BG47" t="str">
            <v>D .Anorm</v>
          </cell>
          <cell r="BY47">
            <v>3.8302076365800968E-6</v>
          </cell>
          <cell r="BZ47" t="str">
            <v/>
          </cell>
          <cell r="CA47">
            <v>4.804170731030536E-5</v>
          </cell>
          <cell r="CB47" t="str">
            <v/>
          </cell>
          <cell r="CC47">
            <v>4.527095824060975E-5</v>
          </cell>
          <cell r="CD47" t="str">
            <v/>
          </cell>
          <cell r="CE47">
            <v>5.6307103880206677E-5</v>
          </cell>
          <cell r="CF47" t="str">
            <v/>
          </cell>
          <cell r="CG47">
            <v>1.473200792235504E-5</v>
          </cell>
          <cell r="CH47" t="str">
            <v/>
          </cell>
          <cell r="CI47">
            <v>1.89034083690809E-5</v>
          </cell>
          <cell r="CJ47" t="str">
            <v/>
          </cell>
          <cell r="CK47">
            <v>3.1299813183675832E-5</v>
          </cell>
          <cell r="CL47" t="str">
            <v/>
          </cell>
          <cell r="CM47">
            <v>4.569162576010778E-5</v>
          </cell>
          <cell r="CN47" t="str">
            <v/>
          </cell>
          <cell r="CP47" t="e">
            <v>#VALUE!</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G47">
            <v>0</v>
          </cell>
          <cell r="DH47">
            <v>0</v>
          </cell>
          <cell r="DJ47">
            <v>0.12263220543640796</v>
          </cell>
          <cell r="DK47" t="str">
            <v/>
          </cell>
        </row>
        <row r="48">
          <cell r="A48" t="str">
            <v/>
          </cell>
          <cell r="B48" t="str">
            <v/>
          </cell>
          <cell r="AE48" t="str">
            <v/>
          </cell>
          <cell r="AF48">
            <v>0</v>
          </cell>
          <cell r="AG48">
            <v>0</v>
          </cell>
          <cell r="AH48" t="str">
            <v>X</v>
          </cell>
          <cell r="AI48">
            <v>0</v>
          </cell>
          <cell r="AJ48">
            <v>0</v>
          </cell>
          <cell r="AK48" t="str">
            <v>X</v>
          </cell>
          <cell r="AL48">
            <v>0</v>
          </cell>
          <cell r="AM48">
            <v>0</v>
          </cell>
          <cell r="AN48" t="str">
            <v/>
          </cell>
          <cell r="AO48">
            <v>10</v>
          </cell>
          <cell r="AP48" t="str">
            <v>e</v>
          </cell>
          <cell r="AQ48" t="str">
            <v>e</v>
          </cell>
          <cell r="AR48" t="str">
            <v>e</v>
          </cell>
          <cell r="AS48" t="str">
            <v>e</v>
          </cell>
          <cell r="AT48" t="str">
            <v>e</v>
          </cell>
          <cell r="AU48" t="str">
            <v>e</v>
          </cell>
          <cell r="AV48" t="str">
            <v>e</v>
          </cell>
          <cell r="AX48" t="str">
            <v/>
          </cell>
          <cell r="AY48" t="str">
            <v/>
          </cell>
          <cell r="AZ48" t="str">
            <v/>
          </cell>
          <cell r="BC48" t="str">
            <v xml:space="preserve">0-24 </v>
          </cell>
          <cell r="BD48">
            <v>6</v>
          </cell>
          <cell r="BE48">
            <v>-5</v>
          </cell>
          <cell r="BF48">
            <v>6</v>
          </cell>
          <cell r="BG48">
            <v>-5</v>
          </cell>
          <cell r="BH48" t="str">
            <v>J'ai actuellement 1125 points et ,</v>
          </cell>
          <cell r="BY48">
            <v>3.2495101634329641E-5</v>
          </cell>
          <cell r="BZ48" t="str">
            <v/>
          </cell>
          <cell r="CA48">
            <v>8.4980994294334559E-5</v>
          </cell>
          <cell r="CB48" t="str">
            <v/>
          </cell>
          <cell r="CC48">
            <v>4.0787038376251017E-5</v>
          </cell>
          <cell r="CD48" t="str">
            <v/>
          </cell>
          <cell r="CE48">
            <v>9.8559321573315993E-5</v>
          </cell>
          <cell r="CF48" t="str">
            <v/>
          </cell>
          <cell r="CG48">
            <v>2.3870891030936836E-5</v>
          </cell>
          <cell r="CH48" t="str">
            <v/>
          </cell>
          <cell r="CI48">
            <v>4.2106962958484463E-5</v>
          </cell>
          <cell r="CJ48" t="str">
            <v/>
          </cell>
          <cell r="CK48">
            <v>9.0572946172205021E-6</v>
          </cell>
          <cell r="CL48" t="str">
            <v/>
          </cell>
          <cell r="CM48">
            <v>4.3759984847237134E-5</v>
          </cell>
          <cell r="CN48" t="str">
            <v/>
          </cell>
          <cell r="CP48" t="e">
            <v>#VALUE!</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G48">
            <v>0</v>
          </cell>
          <cell r="DH48">
            <v>0</v>
          </cell>
          <cell r="DJ48">
            <v>0.31126499080224967</v>
          </cell>
          <cell r="DK48" t="str">
            <v/>
          </cell>
        </row>
        <row r="49">
          <cell r="A49" t="str">
            <v/>
          </cell>
          <cell r="B49" t="str">
            <v/>
          </cell>
          <cell r="AE49" t="str">
            <v/>
          </cell>
          <cell r="AF49">
            <v>0</v>
          </cell>
          <cell r="AG49">
            <v>0</v>
          </cell>
          <cell r="AH49" t="str">
            <v>X</v>
          </cell>
          <cell r="AI49">
            <v>0</v>
          </cell>
          <cell r="AJ49">
            <v>0</v>
          </cell>
          <cell r="AK49" t="str">
            <v>X</v>
          </cell>
          <cell r="AL49">
            <v>0</v>
          </cell>
          <cell r="AM49">
            <v>0</v>
          </cell>
          <cell r="AN49" t="str">
            <v/>
          </cell>
          <cell r="AO49">
            <v>10</v>
          </cell>
          <cell r="AP49" t="str">
            <v>e</v>
          </cell>
          <cell r="AQ49" t="str">
            <v>e</v>
          </cell>
          <cell r="AR49" t="str">
            <v>e</v>
          </cell>
          <cell r="AS49" t="str">
            <v>e</v>
          </cell>
          <cell r="AT49" t="str">
            <v>e</v>
          </cell>
          <cell r="AU49" t="str">
            <v>e</v>
          </cell>
          <cell r="AV49" t="str">
            <v>e</v>
          </cell>
          <cell r="AX49" t="str">
            <v/>
          </cell>
          <cell r="AY49" t="str">
            <v/>
          </cell>
          <cell r="AZ49" t="str">
            <v/>
          </cell>
          <cell r="BC49" t="str">
            <v xml:space="preserve">25-49 </v>
          </cell>
          <cell r="BD49">
            <v>5.5</v>
          </cell>
          <cell r="BE49">
            <v>-4.5</v>
          </cell>
          <cell r="BF49">
            <v>7</v>
          </cell>
          <cell r="BG49">
            <v>-6</v>
          </cell>
          <cell r="BH49" t="str">
            <v>je viens de perdre un joueur qui a 1183 points</v>
          </cell>
          <cell r="BY49">
            <v>3.3459564274670595E-5</v>
          </cell>
          <cell r="BZ49" t="str">
            <v/>
          </cell>
          <cell r="CA49">
            <v>7.5383106621088159E-5</v>
          </cell>
          <cell r="CB49" t="str">
            <v/>
          </cell>
          <cell r="CC49">
            <v>6.0149457290971721E-5</v>
          </cell>
          <cell r="CD49" t="str">
            <v/>
          </cell>
          <cell r="CE49">
            <v>6.7611885894934884E-5</v>
          </cell>
          <cell r="CF49" t="str">
            <v/>
          </cell>
          <cell r="CG49">
            <v>2.912922766405075E-5</v>
          </cell>
          <cell r="CH49" t="str">
            <v/>
          </cell>
          <cell r="CI49">
            <v>9.4115025510782969E-5</v>
          </cell>
          <cell r="CJ49" t="str">
            <v/>
          </cell>
          <cell r="CK49">
            <v>3.4496366188165087E-5</v>
          </cell>
          <cell r="CL49" t="str">
            <v/>
          </cell>
          <cell r="CM49">
            <v>7.3268412661663618E-6</v>
          </cell>
          <cell r="CN49" t="str">
            <v/>
          </cell>
          <cell r="CP49" t="e">
            <v>#VALUE!</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G49">
            <v>0</v>
          </cell>
          <cell r="DH49">
            <v>0</v>
          </cell>
          <cell r="DJ49">
            <v>0.68638482611646912</v>
          </cell>
          <cell r="DK49" t="str">
            <v/>
          </cell>
        </row>
        <row r="50">
          <cell r="A50" t="str">
            <v/>
          </cell>
          <cell r="B50" t="str">
            <v/>
          </cell>
          <cell r="AE50" t="str">
            <v/>
          </cell>
          <cell r="AF50">
            <v>0</v>
          </cell>
          <cell r="AG50">
            <v>0</v>
          </cell>
          <cell r="AH50" t="str">
            <v>X</v>
          </cell>
          <cell r="AI50">
            <v>0</v>
          </cell>
          <cell r="AJ50">
            <v>0</v>
          </cell>
          <cell r="AK50" t="str">
            <v>X</v>
          </cell>
          <cell r="AL50">
            <v>0</v>
          </cell>
          <cell r="AM50">
            <v>0</v>
          </cell>
          <cell r="AN50" t="str">
            <v/>
          </cell>
          <cell r="AO50">
            <v>10</v>
          </cell>
          <cell r="AP50" t="str">
            <v>e</v>
          </cell>
          <cell r="AQ50" t="str">
            <v>e</v>
          </cell>
          <cell r="AR50" t="str">
            <v>e</v>
          </cell>
          <cell r="AS50" t="str">
            <v>e</v>
          </cell>
          <cell r="AT50" t="str">
            <v>e</v>
          </cell>
          <cell r="AU50" t="str">
            <v>e</v>
          </cell>
          <cell r="AV50" t="str">
            <v>e</v>
          </cell>
          <cell r="AX50" t="str">
            <v/>
          </cell>
          <cell r="AY50" t="str">
            <v/>
          </cell>
          <cell r="AZ50" t="str">
            <v/>
          </cell>
          <cell r="BC50" t="str">
            <v xml:space="preserve">50-99 </v>
          </cell>
          <cell r="BD50">
            <v>5</v>
          </cell>
          <cell r="BE50">
            <v>-4</v>
          </cell>
          <cell r="BF50">
            <v>8</v>
          </cell>
          <cell r="BG50">
            <v>-7</v>
          </cell>
          <cell r="BH50" t="str">
            <v>Il est mieux classé, c'est donc une défaite "normale"</v>
          </cell>
          <cell r="BY50">
            <v>5.1851274290328103E-5</v>
          </cell>
          <cell r="BZ50" t="str">
            <v/>
          </cell>
          <cell r="CA50">
            <v>8.854981380914683E-5</v>
          </cell>
          <cell r="CB50" t="str">
            <v/>
          </cell>
          <cell r="CC50">
            <v>3.8907766257504576E-5</v>
          </cell>
          <cell r="CD50" t="str">
            <v/>
          </cell>
          <cell r="CE50">
            <v>4.242561100470812E-5</v>
          </cell>
          <cell r="CF50" t="str">
            <v/>
          </cell>
          <cell r="CG50">
            <v>1.5075708368625197E-5</v>
          </cell>
          <cell r="CH50" t="str">
            <v/>
          </cell>
          <cell r="CI50">
            <v>7.5059811127541233E-5</v>
          </cell>
          <cell r="CJ50" t="str">
            <v/>
          </cell>
          <cell r="CK50">
            <v>4.3052426566588544E-5</v>
          </cell>
          <cell r="CL50" t="str">
            <v/>
          </cell>
          <cell r="CM50">
            <v>8.4977726387102713E-5</v>
          </cell>
          <cell r="CN50" t="str">
            <v/>
          </cell>
          <cell r="CP50" t="e">
            <v>#VALUE!</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G50">
            <v>0</v>
          </cell>
          <cell r="DH50">
            <v>0</v>
          </cell>
          <cell r="DJ50">
            <v>0.36255542099454063</v>
          </cell>
          <cell r="DK50" t="str">
            <v/>
          </cell>
        </row>
        <row r="51">
          <cell r="A51" t="str">
            <v/>
          </cell>
          <cell r="B51" t="str">
            <v/>
          </cell>
          <cell r="AE51" t="str">
            <v/>
          </cell>
          <cell r="AF51">
            <v>0</v>
          </cell>
          <cell r="AG51">
            <v>0</v>
          </cell>
          <cell r="AH51" t="str">
            <v>X</v>
          </cell>
          <cell r="AI51">
            <v>0</v>
          </cell>
          <cell r="AJ51">
            <v>0</v>
          </cell>
          <cell r="AK51" t="str">
            <v>X</v>
          </cell>
          <cell r="AL51">
            <v>0</v>
          </cell>
          <cell r="AM51">
            <v>0</v>
          </cell>
          <cell r="AN51" t="str">
            <v/>
          </cell>
          <cell r="AO51">
            <v>10</v>
          </cell>
          <cell r="AP51" t="str">
            <v>e</v>
          </cell>
          <cell r="AQ51" t="str">
            <v>e</v>
          </cell>
          <cell r="AR51" t="str">
            <v>e</v>
          </cell>
          <cell r="AS51" t="str">
            <v>e</v>
          </cell>
          <cell r="AT51" t="str">
            <v>e</v>
          </cell>
          <cell r="AU51" t="str">
            <v>e</v>
          </cell>
          <cell r="AV51" t="str">
            <v>e</v>
          </cell>
          <cell r="AX51" t="str">
            <v/>
          </cell>
          <cell r="AY51" t="str">
            <v/>
          </cell>
          <cell r="AZ51" t="str">
            <v/>
          </cell>
          <cell r="BC51" t="str">
            <v xml:space="preserve">100-149 </v>
          </cell>
          <cell r="BD51">
            <v>4</v>
          </cell>
          <cell r="BE51">
            <v>-3</v>
          </cell>
          <cell r="BF51">
            <v>10</v>
          </cell>
          <cell r="BG51">
            <v>-8</v>
          </cell>
          <cell r="BH51" t="str">
            <v>L'écart est de 1183 - 1125 = 58</v>
          </cell>
          <cell r="BY51">
            <v>1.4152177482285656E-5</v>
          </cell>
          <cell r="BZ51" t="str">
            <v/>
          </cell>
          <cell r="CA51">
            <v>3.3904018562158635E-6</v>
          </cell>
          <cell r="CB51" t="str">
            <v/>
          </cell>
          <cell r="CC51">
            <v>5.3498826599489372E-5</v>
          </cell>
          <cell r="CD51" t="str">
            <v/>
          </cell>
          <cell r="CE51">
            <v>9.2365328110728787E-5</v>
          </cell>
          <cell r="CF51" t="str">
            <v/>
          </cell>
          <cell r="CG51">
            <v>6.4319290310728059E-5</v>
          </cell>
          <cell r="CH51" t="str">
            <v/>
          </cell>
          <cell r="CI51">
            <v>3.388896714289476E-5</v>
          </cell>
          <cell r="CJ51" t="str">
            <v/>
          </cell>
          <cell r="CK51">
            <v>8.7514530697589185E-6</v>
          </cell>
          <cell r="CL51" t="str">
            <v/>
          </cell>
          <cell r="CM51">
            <v>6.1212796828301593E-5</v>
          </cell>
          <cell r="CN51" t="str">
            <v/>
          </cell>
          <cell r="CP51" t="e">
            <v>#VALUE!</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G51">
            <v>0</v>
          </cell>
          <cell r="DH51">
            <v>0</v>
          </cell>
          <cell r="DJ51">
            <v>0.82568001038016925</v>
          </cell>
          <cell r="DK51" t="str">
            <v/>
          </cell>
        </row>
        <row r="52">
          <cell r="A52" t="str">
            <v/>
          </cell>
          <cell r="B52" t="str">
            <v/>
          </cell>
          <cell r="AE52" t="str">
            <v/>
          </cell>
          <cell r="AF52">
            <v>0</v>
          </cell>
          <cell r="AG52">
            <v>0</v>
          </cell>
          <cell r="AH52" t="str">
            <v>X</v>
          </cell>
          <cell r="AI52">
            <v>0</v>
          </cell>
          <cell r="AJ52">
            <v>0</v>
          </cell>
          <cell r="AK52" t="str">
            <v>X</v>
          </cell>
          <cell r="AL52">
            <v>0</v>
          </cell>
          <cell r="AM52">
            <v>0</v>
          </cell>
          <cell r="AN52" t="str">
            <v/>
          </cell>
          <cell r="AO52">
            <v>10</v>
          </cell>
          <cell r="AP52" t="str">
            <v>e</v>
          </cell>
          <cell r="AQ52" t="str">
            <v>e</v>
          </cell>
          <cell r="AR52" t="str">
            <v>e</v>
          </cell>
          <cell r="AS52" t="str">
            <v>e</v>
          </cell>
          <cell r="AT52" t="str">
            <v>e</v>
          </cell>
          <cell r="AU52" t="str">
            <v>e</v>
          </cell>
          <cell r="AV52" t="str">
            <v>e</v>
          </cell>
          <cell r="AX52" t="str">
            <v/>
          </cell>
          <cell r="AY52" t="str">
            <v/>
          </cell>
          <cell r="AZ52" t="str">
            <v/>
          </cell>
          <cell r="BC52" t="str">
            <v xml:space="preserve">150-199 </v>
          </cell>
          <cell r="BD52">
            <v>3</v>
          </cell>
          <cell r="BE52">
            <v>-2</v>
          </cell>
          <cell r="BF52">
            <v>13</v>
          </cell>
          <cell r="BG52">
            <v>-10</v>
          </cell>
          <cell r="BH52" t="str">
            <v>             Je perds donc 4 points</v>
          </cell>
          <cell r="BY52">
            <v>8.8245130018516793E-5</v>
          </cell>
          <cell r="BZ52" t="str">
            <v/>
          </cell>
          <cell r="CA52">
            <v>4.0978687648772464E-5</v>
          </cell>
          <cell r="CB52" t="str">
            <v/>
          </cell>
          <cell r="CC52">
            <v>2.1360650241836021E-5</v>
          </cell>
          <cell r="CD52" t="str">
            <v/>
          </cell>
          <cell r="CE52">
            <v>4.3624887641123521E-5</v>
          </cell>
          <cell r="CF52" t="str">
            <v/>
          </cell>
          <cell r="CG52">
            <v>7.62226629040878E-5</v>
          </cell>
          <cell r="CH52" t="str">
            <v/>
          </cell>
          <cell r="CI52">
            <v>6.0600486868931729E-5</v>
          </cell>
          <cell r="CJ52" t="str">
            <v/>
          </cell>
          <cell r="CK52">
            <v>7.2231822722753551E-5</v>
          </cell>
          <cell r="CL52" t="str">
            <v/>
          </cell>
          <cell r="CM52">
            <v>5.2377403203319789E-5</v>
          </cell>
          <cell r="CN52" t="str">
            <v/>
          </cell>
          <cell r="CP52" t="e">
            <v>#VALUE!</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G52">
            <v>0</v>
          </cell>
          <cell r="DH52">
            <v>0</v>
          </cell>
          <cell r="DJ52">
            <v>2.713902258173384E-2</v>
          </cell>
          <cell r="DK52" t="str">
            <v/>
          </cell>
        </row>
        <row r="53">
          <cell r="A53" t="str">
            <v/>
          </cell>
          <cell r="B53" t="str">
            <v/>
          </cell>
          <cell r="AE53" t="str">
            <v/>
          </cell>
          <cell r="AF53">
            <v>0</v>
          </cell>
          <cell r="AG53">
            <v>0</v>
          </cell>
          <cell r="AH53" t="str">
            <v>X</v>
          </cell>
          <cell r="AI53">
            <v>0</v>
          </cell>
          <cell r="AJ53">
            <v>0</v>
          </cell>
          <cell r="AK53" t="str">
            <v>X</v>
          </cell>
          <cell r="AL53">
            <v>0</v>
          </cell>
          <cell r="AM53">
            <v>0</v>
          </cell>
          <cell r="AN53" t="str">
            <v/>
          </cell>
          <cell r="AO53">
            <v>10</v>
          </cell>
          <cell r="AP53" t="str">
            <v>e</v>
          </cell>
          <cell r="AQ53" t="str">
            <v>e</v>
          </cell>
          <cell r="AR53" t="str">
            <v>e</v>
          </cell>
          <cell r="AS53" t="str">
            <v>e</v>
          </cell>
          <cell r="AT53" t="str">
            <v>e</v>
          </cell>
          <cell r="AU53" t="str">
            <v>e</v>
          </cell>
          <cell r="AV53" t="str">
            <v>e</v>
          </cell>
          <cell r="AX53" t="str">
            <v/>
          </cell>
          <cell r="AY53" t="str">
            <v/>
          </cell>
          <cell r="AZ53" t="str">
            <v/>
          </cell>
          <cell r="BC53" t="str">
            <v xml:space="preserve">200-299 </v>
          </cell>
          <cell r="BD53">
            <v>2</v>
          </cell>
          <cell r="BE53">
            <v>-1</v>
          </cell>
          <cell r="BF53">
            <v>17</v>
          </cell>
          <cell r="BG53">
            <v>-12.5</v>
          </cell>
          <cell r="BH53" t="str">
            <v>J'ai battu ensuite un joueur qui avait 1226 points.</v>
          </cell>
          <cell r="BY53">
            <v>9.7482375351922015E-5</v>
          </cell>
          <cell r="BZ53" t="str">
            <v/>
          </cell>
          <cell r="CA53">
            <v>2.4671431689680803E-5</v>
          </cell>
          <cell r="CB53" t="str">
            <v/>
          </cell>
          <cell r="CC53">
            <v>7.4160767073343708E-5</v>
          </cell>
          <cell r="CD53" t="str">
            <v/>
          </cell>
          <cell r="CE53">
            <v>1.1584473829073794E-7</v>
          </cell>
          <cell r="CF53" t="str">
            <v/>
          </cell>
          <cell r="CG53">
            <v>1.925463184735986E-5</v>
          </cell>
          <cell r="CH53" t="str">
            <v/>
          </cell>
          <cell r="CI53">
            <v>7.9013847787089849E-5</v>
          </cell>
          <cell r="CJ53" t="str">
            <v/>
          </cell>
          <cell r="CK53">
            <v>9.0782306620251012E-5</v>
          </cell>
          <cell r="CL53" t="str">
            <v/>
          </cell>
          <cell r="CM53">
            <v>8.6510675264744481E-5</v>
          </cell>
          <cell r="CN53" t="str">
            <v/>
          </cell>
          <cell r="CP53" t="e">
            <v>#VALUE!</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G53">
            <v>0</v>
          </cell>
          <cell r="DH53">
            <v>0</v>
          </cell>
          <cell r="DJ53">
            <v>0.79203028582186308</v>
          </cell>
          <cell r="DK53" t="str">
            <v/>
          </cell>
        </row>
        <row r="54">
          <cell r="A54" t="str">
            <v/>
          </cell>
          <cell r="B54" t="str">
            <v/>
          </cell>
          <cell r="AE54" t="str">
            <v/>
          </cell>
          <cell r="AF54">
            <v>0</v>
          </cell>
          <cell r="AG54">
            <v>0</v>
          </cell>
          <cell r="AH54" t="str">
            <v>X</v>
          </cell>
          <cell r="AI54">
            <v>0</v>
          </cell>
          <cell r="AJ54">
            <v>0</v>
          </cell>
          <cell r="AK54" t="str">
            <v>X</v>
          </cell>
          <cell r="AL54">
            <v>0</v>
          </cell>
          <cell r="AM54">
            <v>0</v>
          </cell>
          <cell r="AN54" t="str">
            <v/>
          </cell>
          <cell r="AO54">
            <v>10</v>
          </cell>
          <cell r="AP54" t="str">
            <v>e</v>
          </cell>
          <cell r="AQ54" t="str">
            <v>e</v>
          </cell>
          <cell r="AR54" t="str">
            <v>e</v>
          </cell>
          <cell r="AS54" t="str">
            <v>e</v>
          </cell>
          <cell r="AT54" t="str">
            <v>e</v>
          </cell>
          <cell r="AU54" t="str">
            <v>e</v>
          </cell>
          <cell r="AV54" t="str">
            <v>e</v>
          </cell>
          <cell r="AX54" t="str">
            <v/>
          </cell>
          <cell r="AY54" t="str">
            <v/>
          </cell>
          <cell r="AZ54" t="str">
            <v/>
          </cell>
          <cell r="BC54" t="str">
            <v xml:space="preserve">300-399 </v>
          </cell>
          <cell r="BD54">
            <v>1</v>
          </cell>
          <cell r="BE54">
            <v>-0.5</v>
          </cell>
          <cell r="BF54">
            <v>22</v>
          </cell>
          <cell r="BG54">
            <v>-16</v>
          </cell>
          <cell r="BH54" t="str">
            <v>C'est une victoire "anormale" (une performance).</v>
          </cell>
          <cell r="BY54">
            <v>4.6303654052070255E-5</v>
          </cell>
          <cell r="BZ54" t="str">
            <v/>
          </cell>
          <cell r="CA54">
            <v>7.1470988283154682E-6</v>
          </cell>
          <cell r="CB54" t="str">
            <v/>
          </cell>
          <cell r="CC54">
            <v>7.1221987339131678E-5</v>
          </cell>
          <cell r="CD54" t="str">
            <v/>
          </cell>
          <cell r="CE54">
            <v>8.4373444350262748E-5</v>
          </cell>
          <cell r="CF54" t="str">
            <v/>
          </cell>
          <cell r="CG54">
            <v>1.7725345835137197E-5</v>
          </cell>
          <cell r="CH54" t="str">
            <v/>
          </cell>
          <cell r="CI54">
            <v>1.5921523188610788E-5</v>
          </cell>
          <cell r="CJ54" t="str">
            <v/>
          </cell>
          <cell r="CK54">
            <v>1.5320547500299243E-5</v>
          </cell>
          <cell r="CL54" t="str">
            <v/>
          </cell>
          <cell r="CM54">
            <v>4.9860074764576278E-5</v>
          </cell>
          <cell r="CN54" t="str">
            <v/>
          </cell>
          <cell r="CP54" t="e">
            <v>#VALUE!</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G54">
            <v>0</v>
          </cell>
          <cell r="DH54">
            <v>0</v>
          </cell>
          <cell r="DJ54">
            <v>0.66686053930183897</v>
          </cell>
          <cell r="DK54" t="str">
            <v/>
          </cell>
        </row>
        <row r="55">
          <cell r="A55" t="str">
            <v/>
          </cell>
          <cell r="B55" t="str">
            <v/>
          </cell>
          <cell r="AE55" t="str">
            <v/>
          </cell>
          <cell r="AF55">
            <v>0</v>
          </cell>
          <cell r="AG55">
            <v>0</v>
          </cell>
          <cell r="AH55" t="str">
            <v>X</v>
          </cell>
          <cell r="AI55">
            <v>0</v>
          </cell>
          <cell r="AJ55">
            <v>0</v>
          </cell>
          <cell r="AK55" t="str">
            <v>X</v>
          </cell>
          <cell r="AL55">
            <v>0</v>
          </cell>
          <cell r="AM55">
            <v>0</v>
          </cell>
          <cell r="AN55" t="str">
            <v/>
          </cell>
          <cell r="AO55">
            <v>10</v>
          </cell>
          <cell r="AP55" t="str">
            <v>e</v>
          </cell>
          <cell r="AQ55" t="str">
            <v>e</v>
          </cell>
          <cell r="AR55" t="str">
            <v>e</v>
          </cell>
          <cell r="AS55" t="str">
            <v>e</v>
          </cell>
          <cell r="AT55" t="str">
            <v>e</v>
          </cell>
          <cell r="AU55" t="str">
            <v>e</v>
          </cell>
          <cell r="AV55" t="str">
            <v>e</v>
          </cell>
          <cell r="AX55" t="str">
            <v/>
          </cell>
          <cell r="AY55" t="str">
            <v/>
          </cell>
          <cell r="AZ55" t="str">
            <v/>
          </cell>
          <cell r="BC55" t="str">
            <v xml:space="preserve">400-499 </v>
          </cell>
          <cell r="BD55">
            <v>0.5</v>
          </cell>
          <cell r="BE55">
            <v>0</v>
          </cell>
          <cell r="BF55">
            <v>28</v>
          </cell>
          <cell r="BG55">
            <v>-20</v>
          </cell>
          <cell r="BH55" t="str">
            <v>L'écart est de 1226 -1125 = 101</v>
          </cell>
          <cell r="BY55">
            <v>3.4687494354125935E-5</v>
          </cell>
          <cell r="BZ55" t="str">
            <v/>
          </cell>
          <cell r="CA55">
            <v>6.8088049150014004E-5</v>
          </cell>
          <cell r="CB55" t="str">
            <v/>
          </cell>
          <cell r="CC55">
            <v>5.2837917129517088E-5</v>
          </cell>
          <cell r="CD55" t="str">
            <v/>
          </cell>
          <cell r="CE55">
            <v>2.0643491483111911E-5</v>
          </cell>
          <cell r="CF55" t="str">
            <v/>
          </cell>
          <cell r="CG55">
            <v>7.6386280226969759E-5</v>
          </cell>
          <cell r="CH55" t="str">
            <v/>
          </cell>
          <cell r="CI55">
            <v>9.6783863290660541E-5</v>
          </cell>
          <cell r="CJ55" t="str">
            <v/>
          </cell>
          <cell r="CK55">
            <v>9.1294021384073898E-5</v>
          </cell>
          <cell r="CL55" t="str">
            <v/>
          </cell>
          <cell r="CM55">
            <v>5.2429073618793457E-5</v>
          </cell>
          <cell r="CN55" t="str">
            <v/>
          </cell>
          <cell r="CP55" t="e">
            <v>#VALUE!</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G55">
            <v>0</v>
          </cell>
          <cell r="DH55">
            <v>0</v>
          </cell>
          <cell r="DJ55">
            <v>1.8541367414591781E-3</v>
          </cell>
          <cell r="DK55" t="str">
            <v/>
          </cell>
        </row>
        <row r="56">
          <cell r="A56" t="str">
            <v/>
          </cell>
          <cell r="B56" t="str">
            <v/>
          </cell>
          <cell r="AE56" t="str">
            <v/>
          </cell>
          <cell r="AF56">
            <v>0</v>
          </cell>
          <cell r="AG56">
            <v>0</v>
          </cell>
          <cell r="AH56" t="str">
            <v>X</v>
          </cell>
          <cell r="AI56">
            <v>0</v>
          </cell>
          <cell r="AJ56">
            <v>0</v>
          </cell>
          <cell r="AK56" t="str">
            <v>X</v>
          </cell>
          <cell r="AL56">
            <v>0</v>
          </cell>
          <cell r="AM56">
            <v>0</v>
          </cell>
          <cell r="AN56" t="str">
            <v/>
          </cell>
          <cell r="AO56">
            <v>10</v>
          </cell>
          <cell r="AP56" t="str">
            <v>e</v>
          </cell>
          <cell r="AQ56" t="str">
            <v>e</v>
          </cell>
          <cell r="AR56" t="str">
            <v>e</v>
          </cell>
          <cell r="AS56" t="str">
            <v>e</v>
          </cell>
          <cell r="AT56" t="str">
            <v>e</v>
          </cell>
          <cell r="AU56" t="str">
            <v>e</v>
          </cell>
          <cell r="AV56" t="str">
            <v>e</v>
          </cell>
          <cell r="AX56" t="str">
            <v/>
          </cell>
          <cell r="AY56" t="str">
            <v/>
          </cell>
          <cell r="AZ56" t="str">
            <v/>
          </cell>
          <cell r="BC56" t="str">
            <v xml:space="preserve">500+ </v>
          </cell>
          <cell r="BD56">
            <v>0</v>
          </cell>
          <cell r="BE56">
            <v>0</v>
          </cell>
          <cell r="BF56">
            <v>40</v>
          </cell>
          <cell r="BG56">
            <v>-29</v>
          </cell>
          <cell r="BH56" t="str">
            <v>             Je gagne donc 10 points</v>
          </cell>
          <cell r="BY56">
            <v>9.1711919008032749E-5</v>
          </cell>
          <cell r="BZ56" t="str">
            <v/>
          </cell>
          <cell r="CA56">
            <v>9.1602272458103016E-5</v>
          </cell>
          <cell r="CB56" t="str">
            <v/>
          </cell>
          <cell r="CC56">
            <v>2.4025809712641788E-6</v>
          </cell>
          <cell r="CD56" t="str">
            <v/>
          </cell>
          <cell r="CE56">
            <v>3.4476764370282123E-5</v>
          </cell>
          <cell r="CF56" t="str">
            <v/>
          </cell>
          <cell r="CG56">
            <v>2.3776701693111104E-5</v>
          </cell>
          <cell r="CH56" t="str">
            <v/>
          </cell>
          <cell r="CI56">
            <v>2.3624039993889347E-5</v>
          </cell>
          <cell r="CJ56" t="str">
            <v/>
          </cell>
          <cell r="CK56">
            <v>3.2039599067014192E-5</v>
          </cell>
          <cell r="CL56" t="str">
            <v/>
          </cell>
          <cell r="CM56">
            <v>2.7381869340410092E-6</v>
          </cell>
          <cell r="CN56" t="str">
            <v/>
          </cell>
          <cell r="CP56" t="e">
            <v>#VALUE!</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G56">
            <v>0</v>
          </cell>
          <cell r="DH56">
            <v>0</v>
          </cell>
          <cell r="DJ56">
            <v>0.86827445678199444</v>
          </cell>
          <cell r="DK56" t="str">
            <v/>
          </cell>
        </row>
        <row r="57">
          <cell r="A57" t="str">
            <v/>
          </cell>
          <cell r="B57" t="str">
            <v/>
          </cell>
          <cell r="AE57" t="str">
            <v/>
          </cell>
          <cell r="AF57">
            <v>0</v>
          </cell>
          <cell r="AG57">
            <v>0</v>
          </cell>
          <cell r="AH57" t="str">
            <v>X</v>
          </cell>
          <cell r="AI57">
            <v>0</v>
          </cell>
          <cell r="AJ57">
            <v>0</v>
          </cell>
          <cell r="AK57" t="str">
            <v>X</v>
          </cell>
          <cell r="AL57">
            <v>0</v>
          </cell>
          <cell r="AM57">
            <v>0</v>
          </cell>
          <cell r="AN57" t="str">
            <v/>
          </cell>
          <cell r="AO57">
            <v>10</v>
          </cell>
          <cell r="AP57" t="str">
            <v>e</v>
          </cell>
          <cell r="AQ57" t="str">
            <v>e</v>
          </cell>
          <cell r="AR57" t="str">
            <v>e</v>
          </cell>
          <cell r="AS57" t="str">
            <v>e</v>
          </cell>
          <cell r="AT57" t="str">
            <v>e</v>
          </cell>
          <cell r="AU57" t="str">
            <v>e</v>
          </cell>
          <cell r="AV57" t="str">
            <v>e</v>
          </cell>
          <cell r="AX57" t="str">
            <v/>
          </cell>
          <cell r="AY57" t="str">
            <v/>
          </cell>
          <cell r="AZ57" t="str">
            <v/>
          </cell>
          <cell r="BY57">
            <v>4.3996949602153845E-5</v>
          </cell>
          <cell r="BZ57" t="str">
            <v/>
          </cell>
          <cell r="CA57">
            <v>5.3373735451273644E-5</v>
          </cell>
          <cell r="CB57" t="str">
            <v/>
          </cell>
          <cell r="CC57">
            <v>8.8737868395095159E-5</v>
          </cell>
          <cell r="CD57" t="str">
            <v/>
          </cell>
          <cell r="CE57">
            <v>6.5302801921870128E-5</v>
          </cell>
          <cell r="CF57" t="str">
            <v/>
          </cell>
          <cell r="CG57">
            <v>7.9863990108624216E-5</v>
          </cell>
          <cell r="CH57" t="str">
            <v/>
          </cell>
          <cell r="CI57">
            <v>3.8018566081983841E-6</v>
          </cell>
          <cell r="CJ57" t="str">
            <v/>
          </cell>
          <cell r="CK57">
            <v>7.1880304169873651E-5</v>
          </cell>
          <cell r="CL57" t="str">
            <v/>
          </cell>
          <cell r="CM57">
            <v>9.5955737466126251E-5</v>
          </cell>
          <cell r="CN57" t="str">
            <v/>
          </cell>
          <cell r="CP57" t="e">
            <v>#VALUE!</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G57">
            <v>0</v>
          </cell>
          <cell r="DH57">
            <v>0</v>
          </cell>
          <cell r="DJ57">
            <v>0.85716204502512339</v>
          </cell>
          <cell r="DK57" t="str">
            <v/>
          </cell>
        </row>
        <row r="58">
          <cell r="A58" t="str">
            <v/>
          </cell>
          <cell r="B58" t="str">
            <v/>
          </cell>
          <cell r="AE58" t="str">
            <v/>
          </cell>
          <cell r="AF58">
            <v>0</v>
          </cell>
          <cell r="AG58">
            <v>0</v>
          </cell>
          <cell r="AH58" t="str">
            <v>X</v>
          </cell>
          <cell r="AI58">
            <v>0</v>
          </cell>
          <cell r="AJ58">
            <v>0</v>
          </cell>
          <cell r="AK58" t="str">
            <v>X</v>
          </cell>
          <cell r="AL58">
            <v>0</v>
          </cell>
          <cell r="AM58">
            <v>0</v>
          </cell>
          <cell r="AN58" t="str">
            <v/>
          </cell>
          <cell r="AO58">
            <v>10</v>
          </cell>
          <cell r="AP58" t="str">
            <v>e</v>
          </cell>
          <cell r="AQ58" t="str">
            <v>e</v>
          </cell>
          <cell r="AR58" t="str">
            <v>e</v>
          </cell>
          <cell r="AS58" t="str">
            <v>e</v>
          </cell>
          <cell r="AT58" t="str">
            <v>e</v>
          </cell>
          <cell r="AU58" t="str">
            <v>e</v>
          </cell>
          <cell r="AV58" t="str">
            <v>e</v>
          </cell>
          <cell r="AX58" t="str">
            <v/>
          </cell>
          <cell r="AY58" t="str">
            <v/>
          </cell>
          <cell r="AZ58" t="str">
            <v/>
          </cell>
          <cell r="BY58">
            <v>1.6675858950791924E-5</v>
          </cell>
          <cell r="BZ58" t="str">
            <v/>
          </cell>
          <cell r="CA58">
            <v>9.9155665456034876E-5</v>
          </cell>
          <cell r="CB58" t="str">
            <v/>
          </cell>
          <cell r="CC58">
            <v>5.4635741839442443E-5</v>
          </cell>
          <cell r="CD58" t="str">
            <v/>
          </cell>
          <cell r="CE58">
            <v>1.7544964858797886E-5</v>
          </cell>
          <cell r="CF58" t="str">
            <v/>
          </cell>
          <cell r="CG58">
            <v>2.4939408550341879E-5</v>
          </cell>
          <cell r="CH58" t="str">
            <v/>
          </cell>
          <cell r="CI58">
            <v>8.6450996982270436E-5</v>
          </cell>
          <cell r="CJ58" t="str">
            <v/>
          </cell>
          <cell r="CK58">
            <v>1.6456708099190387E-5</v>
          </cell>
          <cell r="CL58" t="str">
            <v/>
          </cell>
          <cell r="CM58">
            <v>3.5552092936212675E-5</v>
          </cell>
          <cell r="CN58" t="str">
            <v/>
          </cell>
          <cell r="CP58" t="e">
            <v>#VALUE!</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G58">
            <v>0</v>
          </cell>
          <cell r="DH58">
            <v>0</v>
          </cell>
          <cell r="DJ58">
            <v>0.55729423509957188</v>
          </cell>
          <cell r="DK58" t="str">
            <v/>
          </cell>
        </row>
        <row r="59">
          <cell r="A59" t="str">
            <v/>
          </cell>
          <cell r="B59" t="str">
            <v/>
          </cell>
          <cell r="AE59" t="str">
            <v/>
          </cell>
          <cell r="AF59">
            <v>0</v>
          </cell>
          <cell r="AG59">
            <v>0</v>
          </cell>
          <cell r="AH59" t="str">
            <v>X</v>
          </cell>
          <cell r="AI59">
            <v>0</v>
          </cell>
          <cell r="AJ59">
            <v>0</v>
          </cell>
          <cell r="AK59" t="str">
            <v>X</v>
          </cell>
          <cell r="AL59">
            <v>0</v>
          </cell>
          <cell r="AM59">
            <v>0</v>
          </cell>
          <cell r="AN59" t="str">
            <v/>
          </cell>
          <cell r="AO59">
            <v>10</v>
          </cell>
          <cell r="AP59" t="str">
            <v>e</v>
          </cell>
          <cell r="AQ59" t="str">
            <v>e</v>
          </cell>
          <cell r="AR59" t="str">
            <v>e</v>
          </cell>
          <cell r="AS59" t="str">
            <v>e</v>
          </cell>
          <cell r="AT59" t="str">
            <v>e</v>
          </cell>
          <cell r="AU59" t="str">
            <v>e</v>
          </cell>
          <cell r="AV59" t="str">
            <v>e</v>
          </cell>
          <cell r="AX59" t="str">
            <v/>
          </cell>
          <cell r="AY59" t="str">
            <v/>
          </cell>
          <cell r="AZ59" t="str">
            <v/>
          </cell>
          <cell r="BY59">
            <v>9.1231357560019097E-6</v>
          </cell>
          <cell r="BZ59" t="str">
            <v/>
          </cell>
          <cell r="CA59">
            <v>9.731243808674927E-5</v>
          </cell>
          <cell r="CB59" t="str">
            <v/>
          </cell>
          <cell r="CC59">
            <v>5.789742688156149E-5</v>
          </cell>
          <cell r="CD59" t="str">
            <v/>
          </cell>
          <cell r="CE59">
            <v>3.862383930608092E-5</v>
          </cell>
          <cell r="CF59" t="str">
            <v/>
          </cell>
          <cell r="CG59">
            <v>4.3148087104685621E-5</v>
          </cell>
          <cell r="CH59" t="str">
            <v/>
          </cell>
          <cell r="CI59">
            <v>8.601486456469297E-5</v>
          </cell>
          <cell r="CJ59" t="str">
            <v/>
          </cell>
          <cell r="CK59">
            <v>5.5048132063883862E-5</v>
          </cell>
          <cell r="CL59" t="str">
            <v/>
          </cell>
          <cell r="CM59">
            <v>9.0675173520539065E-5</v>
          </cell>
          <cell r="CN59" t="str">
            <v/>
          </cell>
          <cell r="CP59" t="e">
            <v>#VALUE!</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G59">
            <v>0</v>
          </cell>
          <cell r="DH59">
            <v>0</v>
          </cell>
          <cell r="DJ59">
            <v>0.63283187051006284</v>
          </cell>
          <cell r="DK59" t="str">
            <v/>
          </cell>
        </row>
        <row r="60">
          <cell r="A60" t="str">
            <v/>
          </cell>
          <cell r="B60" t="str">
            <v/>
          </cell>
          <cell r="AE60" t="str">
            <v/>
          </cell>
          <cell r="AF60">
            <v>0</v>
          </cell>
          <cell r="AG60">
            <v>0</v>
          </cell>
          <cell r="AH60" t="str">
            <v>X</v>
          </cell>
          <cell r="AI60">
            <v>0</v>
          </cell>
          <cell r="AJ60">
            <v>0</v>
          </cell>
          <cell r="AK60" t="str">
            <v>X</v>
          </cell>
          <cell r="AL60">
            <v>0</v>
          </cell>
          <cell r="AM60">
            <v>0</v>
          </cell>
          <cell r="AN60" t="str">
            <v/>
          </cell>
          <cell r="AO60">
            <v>10</v>
          </cell>
          <cell r="AP60" t="str">
            <v>e</v>
          </cell>
          <cell r="AQ60" t="str">
            <v>e</v>
          </cell>
          <cell r="AR60" t="str">
            <v>e</v>
          </cell>
          <cell r="AS60" t="str">
            <v>e</v>
          </cell>
          <cell r="AT60" t="str">
            <v>e</v>
          </cell>
          <cell r="AU60" t="str">
            <v>e</v>
          </cell>
          <cell r="AV60" t="str">
            <v>e</v>
          </cell>
          <cell r="AX60" t="str">
            <v/>
          </cell>
          <cell r="AY60" t="str">
            <v/>
          </cell>
          <cell r="AZ60" t="str">
            <v/>
          </cell>
          <cell r="BY60">
            <v>8.617341408423068E-5</v>
          </cell>
          <cell r="BZ60" t="str">
            <v/>
          </cell>
          <cell r="CA60">
            <v>4.8976091000074941E-5</v>
          </cell>
          <cell r="CB60" t="str">
            <v/>
          </cell>
          <cell r="CC60">
            <v>7.3396533719470773E-5</v>
          </cell>
          <cell r="CD60" t="str">
            <v/>
          </cell>
          <cell r="CE60">
            <v>4.6103631926325167E-5</v>
          </cell>
          <cell r="CF60" t="str">
            <v/>
          </cell>
          <cell r="CG60">
            <v>9.9426938262003526E-5</v>
          </cell>
          <cell r="CH60" t="str">
            <v/>
          </cell>
          <cell r="CI60">
            <v>9.7471782716082977E-5</v>
          </cell>
          <cell r="CJ60" t="str">
            <v/>
          </cell>
          <cell r="CK60">
            <v>1.0976233468625862E-5</v>
          </cell>
          <cell r="CL60" t="str">
            <v/>
          </cell>
          <cell r="CM60">
            <v>5.9375619551135607E-5</v>
          </cell>
          <cell r="CN60" t="str">
            <v/>
          </cell>
          <cell r="CP60" t="e">
            <v>#VALUE!</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G60">
            <v>0</v>
          </cell>
          <cell r="DH60">
            <v>0</v>
          </cell>
          <cell r="DJ60">
            <v>0.84106476074591596</v>
          </cell>
          <cell r="DK60" t="str">
            <v/>
          </cell>
        </row>
        <row r="61">
          <cell r="A61" t="str">
            <v/>
          </cell>
          <cell r="B61" t="str">
            <v/>
          </cell>
          <cell r="AE61" t="str">
            <v/>
          </cell>
          <cell r="AF61">
            <v>0</v>
          </cell>
          <cell r="AG61">
            <v>0</v>
          </cell>
          <cell r="AH61" t="str">
            <v>X</v>
          </cell>
          <cell r="AI61">
            <v>0</v>
          </cell>
          <cell r="AJ61">
            <v>0</v>
          </cell>
          <cell r="AK61" t="str">
            <v>X</v>
          </cell>
          <cell r="AL61">
            <v>0</v>
          </cell>
          <cell r="AM61">
            <v>0</v>
          </cell>
          <cell r="AN61" t="str">
            <v/>
          </cell>
          <cell r="AO61">
            <v>10</v>
          </cell>
          <cell r="AP61" t="str">
            <v>e</v>
          </cell>
          <cell r="AQ61" t="str">
            <v>e</v>
          </cell>
          <cell r="AR61" t="str">
            <v>e</v>
          </cell>
          <cell r="AS61" t="str">
            <v>e</v>
          </cell>
          <cell r="AT61" t="str">
            <v>e</v>
          </cell>
          <cell r="AU61" t="str">
            <v>e</v>
          </cell>
          <cell r="AV61" t="str">
            <v>e</v>
          </cell>
          <cell r="AX61" t="str">
            <v/>
          </cell>
          <cell r="AY61" t="str">
            <v/>
          </cell>
          <cell r="AZ61" t="str">
            <v/>
          </cell>
          <cell r="BY61">
            <v>4.5685382993615758E-5</v>
          </cell>
          <cell r="BZ61" t="str">
            <v/>
          </cell>
          <cell r="CA61">
            <v>6.5805565080669632E-5</v>
          </cell>
          <cell r="CB61" t="str">
            <v/>
          </cell>
          <cell r="CC61">
            <v>4.8669407801397168E-5</v>
          </cell>
          <cell r="CD61" t="str">
            <v/>
          </cell>
          <cell r="CE61">
            <v>4.1371702353456889E-5</v>
          </cell>
          <cell r="CF61" t="str">
            <v/>
          </cell>
          <cell r="CG61">
            <v>4.232308051913557E-5</v>
          </cell>
          <cell r="CH61" t="str">
            <v/>
          </cell>
          <cell r="CI61">
            <v>8.3495645461524167E-5</v>
          </cell>
          <cell r="CJ61" t="str">
            <v/>
          </cell>
          <cell r="CK61">
            <v>3.3569965800698466E-5</v>
          </cell>
          <cell r="CL61" t="str">
            <v/>
          </cell>
          <cell r="CM61">
            <v>2.5840679120269718E-5</v>
          </cell>
          <cell r="CN61" t="str">
            <v/>
          </cell>
          <cell r="CP61" t="e">
            <v>#VALUE!</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G61">
            <v>0</v>
          </cell>
          <cell r="DH61">
            <v>0</v>
          </cell>
          <cell r="DJ61">
            <v>0.29860831883356431</v>
          </cell>
          <cell r="DK61" t="str">
            <v/>
          </cell>
        </row>
        <row r="62">
          <cell r="A62" t="str">
            <v/>
          </cell>
          <cell r="B62" t="str">
            <v/>
          </cell>
          <cell r="AE62" t="str">
            <v/>
          </cell>
          <cell r="AF62">
            <v>0</v>
          </cell>
          <cell r="AG62">
            <v>0</v>
          </cell>
          <cell r="AH62" t="str">
            <v>X</v>
          </cell>
          <cell r="AI62">
            <v>0</v>
          </cell>
          <cell r="AJ62">
            <v>0</v>
          </cell>
          <cell r="AK62" t="str">
            <v>X</v>
          </cell>
          <cell r="AL62">
            <v>0</v>
          </cell>
          <cell r="AM62">
            <v>0</v>
          </cell>
          <cell r="AN62" t="str">
            <v/>
          </cell>
          <cell r="AO62">
            <v>10</v>
          </cell>
          <cell r="AP62" t="str">
            <v>e</v>
          </cell>
          <cell r="AQ62" t="str">
            <v>e</v>
          </cell>
          <cell r="AR62" t="str">
            <v>e</v>
          </cell>
          <cell r="AS62" t="str">
            <v>e</v>
          </cell>
          <cell r="AT62" t="str">
            <v>e</v>
          </cell>
          <cell r="AU62" t="str">
            <v>e</v>
          </cell>
          <cell r="AV62" t="str">
            <v>e</v>
          </cell>
          <cell r="AX62" t="str">
            <v/>
          </cell>
          <cell r="AY62" t="str">
            <v/>
          </cell>
          <cell r="AZ62" t="str">
            <v/>
          </cell>
          <cell r="BY62">
            <v>4.4584244931999486E-5</v>
          </cell>
          <cell r="BZ62" t="str">
            <v/>
          </cell>
          <cell r="CA62">
            <v>6.6849397447041678E-5</v>
          </cell>
          <cell r="CB62" t="str">
            <v/>
          </cell>
          <cell r="CC62">
            <v>8.646735603427873E-5</v>
          </cell>
          <cell r="CD62" t="str">
            <v/>
          </cell>
          <cell r="CE62">
            <v>1.9163945393999118E-5</v>
          </cell>
          <cell r="CF62" t="str">
            <v/>
          </cell>
          <cell r="CG62">
            <v>2.4196816890298068E-5</v>
          </cell>
          <cell r="CH62" t="str">
            <v/>
          </cell>
          <cell r="CI62">
            <v>5.0442749116673169E-5</v>
          </cell>
          <cell r="CJ62" t="str">
            <v/>
          </cell>
          <cell r="CK62">
            <v>4.2445247719578897E-5</v>
          </cell>
          <cell r="CL62" t="str">
            <v/>
          </cell>
          <cell r="CM62">
            <v>3.082141363542457E-7</v>
          </cell>
          <cell r="CN62" t="str">
            <v/>
          </cell>
          <cell r="CP62" t="e">
            <v>#VALUE!</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G62">
            <v>0</v>
          </cell>
          <cell r="DH62">
            <v>0</v>
          </cell>
          <cell r="DJ62">
            <v>0.62699871658503847</v>
          </cell>
          <cell r="DK62" t="str">
            <v/>
          </cell>
        </row>
        <row r="63">
          <cell r="A63" t="str">
            <v/>
          </cell>
          <cell r="B63" t="str">
            <v/>
          </cell>
          <cell r="AE63" t="str">
            <v/>
          </cell>
          <cell r="AF63">
            <v>0</v>
          </cell>
          <cell r="AG63">
            <v>0</v>
          </cell>
          <cell r="AH63" t="str">
            <v>X</v>
          </cell>
          <cell r="AI63">
            <v>0</v>
          </cell>
          <cell r="AJ63">
            <v>0</v>
          </cell>
          <cell r="AK63" t="str">
            <v>X</v>
          </cell>
          <cell r="AL63">
            <v>0</v>
          </cell>
          <cell r="AM63">
            <v>0</v>
          </cell>
          <cell r="AN63" t="str">
            <v/>
          </cell>
          <cell r="AO63">
            <v>10</v>
          </cell>
          <cell r="AP63" t="str">
            <v>e</v>
          </cell>
          <cell r="AQ63" t="str">
            <v>e</v>
          </cell>
          <cell r="AR63" t="str">
            <v>e</v>
          </cell>
          <cell r="AS63" t="str">
            <v>e</v>
          </cell>
          <cell r="AT63" t="str">
            <v>e</v>
          </cell>
          <cell r="AU63" t="str">
            <v>e</v>
          </cell>
          <cell r="AV63" t="str">
            <v>e</v>
          </cell>
          <cell r="AX63" t="str">
            <v/>
          </cell>
          <cell r="AY63" t="str">
            <v/>
          </cell>
          <cell r="AZ63" t="str">
            <v/>
          </cell>
          <cell r="BY63">
            <v>2.449924934307315E-5</v>
          </cell>
          <cell r="BZ63" t="str">
            <v/>
          </cell>
          <cell r="CA63">
            <v>2.4750224111848909E-6</v>
          </cell>
          <cell r="CB63" t="str">
            <v/>
          </cell>
          <cell r="CC63">
            <v>3.9439895793166281E-5</v>
          </cell>
          <cell r="CD63" t="str">
            <v/>
          </cell>
          <cell r="CE63">
            <v>6.4724096163919315E-5</v>
          </cell>
          <cell r="CF63" t="str">
            <v/>
          </cell>
          <cell r="CG63">
            <v>1.9995944278447997E-5</v>
          </cell>
          <cell r="CH63" t="str">
            <v/>
          </cell>
          <cell r="CI63">
            <v>8.0721793930626633E-5</v>
          </cell>
          <cell r="CJ63" t="str">
            <v/>
          </cell>
          <cell r="CK63">
            <v>5.0170980563467353E-5</v>
          </cell>
          <cell r="CL63" t="str">
            <v/>
          </cell>
          <cell r="CM63">
            <v>3.9126860593028194E-5</v>
          </cell>
          <cell r="CN63" t="str">
            <v/>
          </cell>
          <cell r="CP63" t="e">
            <v>#VALUE!</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G63">
            <v>0</v>
          </cell>
          <cell r="DH63">
            <v>0</v>
          </cell>
          <cell r="DJ63">
            <v>0.23260650672823369</v>
          </cell>
          <cell r="DK63" t="str">
            <v/>
          </cell>
        </row>
        <row r="64">
          <cell r="A64" t="str">
            <v/>
          </cell>
          <cell r="B64" t="str">
            <v/>
          </cell>
          <cell r="AE64" t="str">
            <v/>
          </cell>
          <cell r="AF64">
            <v>0</v>
          </cell>
          <cell r="AG64">
            <v>0</v>
          </cell>
          <cell r="AH64" t="str">
            <v>X</v>
          </cell>
          <cell r="AI64">
            <v>0</v>
          </cell>
          <cell r="AJ64">
            <v>0</v>
          </cell>
          <cell r="AK64" t="str">
            <v>X</v>
          </cell>
          <cell r="AL64">
            <v>0</v>
          </cell>
          <cell r="AM64">
            <v>0</v>
          </cell>
          <cell r="AN64" t="str">
            <v/>
          </cell>
          <cell r="AO64">
            <v>10</v>
          </cell>
          <cell r="AP64" t="str">
            <v>e</v>
          </cell>
          <cell r="AQ64" t="str">
            <v>e</v>
          </cell>
          <cell r="AR64" t="str">
            <v>e</v>
          </cell>
          <cell r="AS64" t="str">
            <v>e</v>
          </cell>
          <cell r="AT64" t="str">
            <v>e</v>
          </cell>
          <cell r="AU64" t="str">
            <v>e</v>
          </cell>
          <cell r="AV64" t="str">
            <v>e</v>
          </cell>
          <cell r="AX64" t="str">
            <v/>
          </cell>
          <cell r="AY64" t="str">
            <v/>
          </cell>
          <cell r="AZ64" t="str">
            <v/>
          </cell>
          <cell r="BY64">
            <v>6.1211735288848162E-6</v>
          </cell>
          <cell r="BZ64" t="str">
            <v/>
          </cell>
          <cell r="CA64">
            <v>4.7449865228706633E-5</v>
          </cell>
          <cell r="CB64" t="str">
            <v/>
          </cell>
          <cell r="CC64">
            <v>7.0727185458308747E-5</v>
          </cell>
          <cell r="CD64" t="str">
            <v/>
          </cell>
          <cell r="CE64">
            <v>8.7543029742985796E-5</v>
          </cell>
          <cell r="CF64" t="str">
            <v/>
          </cell>
          <cell r="CG64">
            <v>2.585241494178714E-5</v>
          </cell>
          <cell r="CH64" t="str">
            <v/>
          </cell>
          <cell r="CI64">
            <v>4.0218259994931827E-5</v>
          </cell>
          <cell r="CJ64" t="str">
            <v/>
          </cell>
          <cell r="CK64">
            <v>4.9529817479767506E-5</v>
          </cell>
          <cell r="CL64" t="str">
            <v/>
          </cell>
          <cell r="CM64">
            <v>2.3169236256365801E-5</v>
          </cell>
          <cell r="CN64" t="str">
            <v/>
          </cell>
          <cell r="CP64" t="e">
            <v>#VALUE!</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G64">
            <v>0</v>
          </cell>
          <cell r="DH64">
            <v>0</v>
          </cell>
          <cell r="DJ64">
            <v>5.3443798750515525E-2</v>
          </cell>
          <cell r="DK64" t="str">
            <v/>
          </cell>
        </row>
        <row r="65">
          <cell r="A65" t="str">
            <v/>
          </cell>
          <cell r="B65" t="str">
            <v/>
          </cell>
          <cell r="AE65" t="str">
            <v/>
          </cell>
          <cell r="AF65">
            <v>0</v>
          </cell>
          <cell r="AG65">
            <v>0</v>
          </cell>
          <cell r="AH65" t="str">
            <v>X</v>
          </cell>
          <cell r="AI65">
            <v>0</v>
          </cell>
          <cell r="AJ65">
            <v>0</v>
          </cell>
          <cell r="AK65" t="str">
            <v>X</v>
          </cell>
          <cell r="AL65">
            <v>0</v>
          </cell>
          <cell r="AM65">
            <v>0</v>
          </cell>
          <cell r="AN65" t="str">
            <v/>
          </cell>
          <cell r="AO65">
            <v>10</v>
          </cell>
          <cell r="AP65" t="str">
            <v>e</v>
          </cell>
          <cell r="AQ65" t="str">
            <v>e</v>
          </cell>
          <cell r="AR65" t="str">
            <v>e</v>
          </cell>
          <cell r="AS65" t="str">
            <v>e</v>
          </cell>
          <cell r="AT65" t="str">
            <v>e</v>
          </cell>
          <cell r="AU65" t="str">
            <v>e</v>
          </cell>
          <cell r="AV65" t="str">
            <v>e</v>
          </cell>
          <cell r="AX65" t="str">
            <v/>
          </cell>
          <cell r="AY65" t="str">
            <v/>
          </cell>
          <cell r="AZ65" t="str">
            <v/>
          </cell>
          <cell r="BY65">
            <v>7.9134919889932136E-5</v>
          </cell>
          <cell r="BZ65" t="str">
            <v/>
          </cell>
          <cell r="CA65">
            <v>8.5937319913114826E-5</v>
          </cell>
          <cell r="CB65" t="str">
            <v/>
          </cell>
          <cell r="CC65">
            <v>3.7945781843399772E-5</v>
          </cell>
          <cell r="CD65" t="str">
            <v/>
          </cell>
          <cell r="CE65">
            <v>8.7860058187451848E-5</v>
          </cell>
          <cell r="CF65" t="str">
            <v/>
          </cell>
          <cell r="CG65">
            <v>5.1117668991363132E-5</v>
          </cell>
          <cell r="CH65" t="str">
            <v/>
          </cell>
          <cell r="CI65">
            <v>9.0496442618031466E-6</v>
          </cell>
          <cell r="CJ65" t="str">
            <v/>
          </cell>
          <cell r="CK65">
            <v>7.9988355543621044E-6</v>
          </cell>
          <cell r="CL65" t="str">
            <v/>
          </cell>
          <cell r="CM65">
            <v>5.7108211796448431E-5</v>
          </cell>
          <cell r="CN65" t="str">
            <v/>
          </cell>
          <cell r="CP65" t="e">
            <v>#VALUE!</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G65">
            <v>0</v>
          </cell>
          <cell r="DH65">
            <v>0</v>
          </cell>
          <cell r="DJ65">
            <v>0.55127253661427433</v>
          </cell>
          <cell r="DK65" t="str">
            <v/>
          </cell>
        </row>
        <row r="66">
          <cell r="A66" t="str">
            <v/>
          </cell>
          <cell r="B66" t="str">
            <v/>
          </cell>
          <cell r="AE66" t="str">
            <v/>
          </cell>
          <cell r="AF66">
            <v>0</v>
          </cell>
          <cell r="AG66">
            <v>0</v>
          </cell>
          <cell r="AH66" t="str">
            <v>X</v>
          </cell>
          <cell r="AI66">
            <v>0</v>
          </cell>
          <cell r="AJ66">
            <v>0</v>
          </cell>
          <cell r="AK66" t="str">
            <v>X</v>
          </cell>
          <cell r="AL66">
            <v>0</v>
          </cell>
          <cell r="AM66">
            <v>0</v>
          </cell>
          <cell r="AN66" t="str">
            <v/>
          </cell>
          <cell r="AO66">
            <v>10</v>
          </cell>
          <cell r="AP66" t="str">
            <v>e</v>
          </cell>
          <cell r="AQ66" t="str">
            <v>e</v>
          </cell>
          <cell r="AR66" t="str">
            <v>e</v>
          </cell>
          <cell r="AS66" t="str">
            <v>e</v>
          </cell>
          <cell r="AT66" t="str">
            <v>e</v>
          </cell>
          <cell r="AU66" t="str">
            <v>e</v>
          </cell>
          <cell r="AV66" t="str">
            <v>e</v>
          </cell>
          <cell r="AX66" t="str">
            <v/>
          </cell>
          <cell r="AY66" t="str">
            <v/>
          </cell>
          <cell r="AZ66" t="str">
            <v/>
          </cell>
          <cell r="BY66">
            <v>1.0410754153680135E-5</v>
          </cell>
          <cell r="BZ66" t="str">
            <v/>
          </cell>
          <cell r="CA66">
            <v>3.0834938013113712E-5</v>
          </cell>
          <cell r="CB66" t="str">
            <v/>
          </cell>
          <cell r="CC66">
            <v>5.5797250831954987E-5</v>
          </cell>
          <cell r="CD66" t="str">
            <v/>
          </cell>
          <cell r="CE66">
            <v>4.3220017262325016E-5</v>
          </cell>
          <cell r="CF66" t="str">
            <v/>
          </cell>
          <cell r="CG66">
            <v>6.543050647324529E-5</v>
          </cell>
          <cell r="CH66" t="str">
            <v/>
          </cell>
          <cell r="CI66">
            <v>5.255977615329922E-5</v>
          </cell>
          <cell r="CJ66" t="str">
            <v/>
          </cell>
          <cell r="CK66">
            <v>8.6157854765316668E-5</v>
          </cell>
          <cell r="CL66" t="str">
            <v/>
          </cell>
          <cell r="CM66">
            <v>9.7956485788434011E-5</v>
          </cell>
          <cell r="CN66" t="str">
            <v/>
          </cell>
          <cell r="CP66" t="e">
            <v>#VALUE!</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G66">
            <v>0</v>
          </cell>
          <cell r="DH66">
            <v>0</v>
          </cell>
          <cell r="DJ66">
            <v>0.6574693871120767</v>
          </cell>
          <cell r="DK66" t="str">
            <v/>
          </cell>
        </row>
        <row r="67">
          <cell r="A67" t="str">
            <v/>
          </cell>
          <cell r="B67" t="str">
            <v/>
          </cell>
          <cell r="AE67" t="str">
            <v/>
          </cell>
          <cell r="AF67">
            <v>0</v>
          </cell>
          <cell r="AG67">
            <v>0</v>
          </cell>
          <cell r="AH67" t="str">
            <v>X</v>
          </cell>
          <cell r="AI67">
            <v>0</v>
          </cell>
          <cell r="AJ67">
            <v>0</v>
          </cell>
          <cell r="AK67" t="str">
            <v>X</v>
          </cell>
          <cell r="AL67">
            <v>0</v>
          </cell>
          <cell r="AM67">
            <v>0</v>
          </cell>
          <cell r="AN67" t="str">
            <v/>
          </cell>
          <cell r="AO67">
            <v>10</v>
          </cell>
          <cell r="AP67" t="str">
            <v>e</v>
          </cell>
          <cell r="AQ67" t="str">
            <v>e</v>
          </cell>
          <cell r="AR67" t="str">
            <v>e</v>
          </cell>
          <cell r="AS67" t="str">
            <v>e</v>
          </cell>
          <cell r="AT67" t="str">
            <v>e</v>
          </cell>
          <cell r="AU67" t="str">
            <v>e</v>
          </cell>
          <cell r="AV67" t="str">
            <v>e</v>
          </cell>
          <cell r="AX67" t="str">
            <v/>
          </cell>
          <cell r="AY67" t="str">
            <v/>
          </cell>
          <cell r="AZ67" t="str">
            <v/>
          </cell>
          <cell r="BY67">
            <v>8.919213439338418E-5</v>
          </cell>
          <cell r="BZ67" t="str">
            <v/>
          </cell>
          <cell r="CA67">
            <v>6.3603499991915581E-5</v>
          </cell>
          <cell r="CB67" t="str">
            <v/>
          </cell>
          <cell r="CC67">
            <v>9.7942529380486189E-5</v>
          </cell>
          <cell r="CD67" t="str">
            <v/>
          </cell>
          <cell r="CE67">
            <v>9.2460577504392349E-5</v>
          </cell>
          <cell r="CF67" t="str">
            <v/>
          </cell>
          <cell r="CG67">
            <v>9.1705807406590144E-5</v>
          </cell>
          <cell r="CH67" t="str">
            <v/>
          </cell>
          <cell r="CI67">
            <v>3.7345633522966748E-5</v>
          </cell>
          <cell r="CJ67" t="str">
            <v/>
          </cell>
          <cell r="CK67">
            <v>1.9254358305650733E-5</v>
          </cell>
          <cell r="CL67" t="str">
            <v/>
          </cell>
          <cell r="CM67">
            <v>6.9387369822547726E-5</v>
          </cell>
          <cell r="CN67" t="str">
            <v/>
          </cell>
          <cell r="CP67" t="e">
            <v>#VALUE!</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G67">
            <v>0</v>
          </cell>
          <cell r="DH67">
            <v>0</v>
          </cell>
          <cell r="DJ67">
            <v>0.31782041330736499</v>
          </cell>
          <cell r="DK67" t="str">
            <v/>
          </cell>
        </row>
        <row r="68">
          <cell r="A68" t="str">
            <v/>
          </cell>
          <cell r="B68" t="str">
            <v/>
          </cell>
          <cell r="AE68" t="str">
            <v/>
          </cell>
          <cell r="AF68">
            <v>0</v>
          </cell>
          <cell r="AG68">
            <v>0</v>
          </cell>
          <cell r="AH68" t="str">
            <v>X</v>
          </cell>
          <cell r="AI68">
            <v>0</v>
          </cell>
          <cell r="AJ68">
            <v>0</v>
          </cell>
          <cell r="AK68" t="str">
            <v>X</v>
          </cell>
          <cell r="AL68">
            <v>0</v>
          </cell>
          <cell r="AM68">
            <v>0</v>
          </cell>
          <cell r="AN68" t="str">
            <v/>
          </cell>
          <cell r="AO68">
            <v>10</v>
          </cell>
          <cell r="AP68" t="str">
            <v>e</v>
          </cell>
          <cell r="AQ68" t="str">
            <v>e</v>
          </cell>
          <cell r="AR68" t="str">
            <v>e</v>
          </cell>
          <cell r="AS68" t="str">
            <v>e</v>
          </cell>
          <cell r="AT68" t="str">
            <v>e</v>
          </cell>
          <cell r="AU68" t="str">
            <v>e</v>
          </cell>
          <cell r="AV68" t="str">
            <v>e</v>
          </cell>
          <cell r="AX68" t="str">
            <v/>
          </cell>
          <cell r="AY68" t="str">
            <v/>
          </cell>
          <cell r="AZ68" t="str">
            <v/>
          </cell>
          <cell r="BY68">
            <v>9.6914130269327837E-5</v>
          </cell>
          <cell r="BZ68" t="str">
            <v/>
          </cell>
          <cell r="CA68">
            <v>9.0993348649279844E-5</v>
          </cell>
          <cell r="CB68" t="str">
            <v/>
          </cell>
          <cell r="CC68">
            <v>4.5991479357957144E-5</v>
          </cell>
          <cell r="CD68" t="str">
            <v/>
          </cell>
          <cell r="CE68">
            <v>6.9319376395420072E-5</v>
          </cell>
          <cell r="CF68" t="str">
            <v/>
          </cell>
          <cell r="CG68">
            <v>4.4134602075569875E-5</v>
          </cell>
          <cell r="CH68" t="str">
            <v/>
          </cell>
          <cell r="CI68">
            <v>6.0352992442070813E-5</v>
          </cell>
          <cell r="CJ68" t="str">
            <v/>
          </cell>
          <cell r="CK68">
            <v>8.7329293232870308E-5</v>
          </cell>
          <cell r="CL68" t="str">
            <v/>
          </cell>
          <cell r="CM68">
            <v>4.3737192408782393E-5</v>
          </cell>
          <cell r="CN68" t="str">
            <v/>
          </cell>
          <cell r="CP68" t="e">
            <v>#VALUE!</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G68">
            <v>0</v>
          </cell>
          <cell r="DH68">
            <v>0</v>
          </cell>
          <cell r="DJ68">
            <v>0.70058547739236554</v>
          </cell>
          <cell r="DK68" t="str">
            <v/>
          </cell>
        </row>
        <row r="69">
          <cell r="A69" t="str">
            <v/>
          </cell>
          <cell r="B69" t="str">
            <v/>
          </cell>
          <cell r="AE69" t="str">
            <v/>
          </cell>
          <cell r="AF69">
            <v>0</v>
          </cell>
          <cell r="AG69">
            <v>0</v>
          </cell>
          <cell r="AH69" t="str">
            <v>X</v>
          </cell>
          <cell r="AI69">
            <v>0</v>
          </cell>
          <cell r="AJ69">
            <v>0</v>
          </cell>
          <cell r="AK69" t="str">
            <v>X</v>
          </cell>
          <cell r="AL69">
            <v>0</v>
          </cell>
          <cell r="AM69">
            <v>0</v>
          </cell>
          <cell r="AN69" t="str">
            <v/>
          </cell>
          <cell r="AO69">
            <v>10</v>
          </cell>
          <cell r="AP69" t="str">
            <v>e</v>
          </cell>
          <cell r="AQ69" t="str">
            <v>e</v>
          </cell>
          <cell r="AR69" t="str">
            <v>e</v>
          </cell>
          <cell r="AS69" t="str">
            <v>e</v>
          </cell>
          <cell r="AT69" t="str">
            <v>e</v>
          </cell>
          <cell r="AU69" t="str">
            <v>e</v>
          </cell>
          <cell r="AV69" t="str">
            <v>e</v>
          </cell>
          <cell r="AX69" t="str">
            <v/>
          </cell>
          <cell r="AY69" t="str">
            <v/>
          </cell>
          <cell r="AZ69" t="str">
            <v/>
          </cell>
          <cell r="BY69">
            <v>9.4242957795630578E-5</v>
          </cell>
          <cell r="BZ69" t="str">
            <v/>
          </cell>
          <cell r="CA69">
            <v>4.311052570517049E-6</v>
          </cell>
          <cell r="CB69" t="str">
            <v/>
          </cell>
          <cell r="CC69">
            <v>7.6531268825233575E-5</v>
          </cell>
          <cell r="CD69" t="str">
            <v/>
          </cell>
          <cell r="CE69">
            <v>9.0666267591581748E-5</v>
          </cell>
          <cell r="CF69" t="str">
            <v/>
          </cell>
          <cell r="CG69">
            <v>4.7284306242547207E-5</v>
          </cell>
          <cell r="CH69" t="str">
            <v/>
          </cell>
          <cell r="CI69">
            <v>4.9956189008347873E-5</v>
          </cell>
          <cell r="CJ69" t="str">
            <v/>
          </cell>
          <cell r="CK69">
            <v>4.6198652088222314E-5</v>
          </cell>
          <cell r="CL69" t="str">
            <v/>
          </cell>
          <cell r="CM69">
            <v>2.8201553864864538E-5</v>
          </cell>
          <cell r="CN69" t="str">
            <v/>
          </cell>
          <cell r="CP69" t="e">
            <v>#VALUE!</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G69">
            <v>0</v>
          </cell>
          <cell r="DH69">
            <v>0</v>
          </cell>
          <cell r="DJ69">
            <v>0.8984439103576497</v>
          </cell>
          <cell r="DK69" t="str">
            <v/>
          </cell>
        </row>
        <row r="70">
          <cell r="A70" t="str">
            <v/>
          </cell>
          <cell r="B70" t="str">
            <v/>
          </cell>
          <cell r="AE70" t="str">
            <v/>
          </cell>
          <cell r="AF70">
            <v>0</v>
          </cell>
          <cell r="AG70">
            <v>0</v>
          </cell>
          <cell r="AH70" t="str">
            <v>X</v>
          </cell>
          <cell r="AI70">
            <v>0</v>
          </cell>
          <cell r="AJ70">
            <v>0</v>
          </cell>
          <cell r="AK70" t="str">
            <v>X</v>
          </cell>
          <cell r="AL70">
            <v>0</v>
          </cell>
          <cell r="AM70">
            <v>0</v>
          </cell>
          <cell r="AN70" t="str">
            <v/>
          </cell>
          <cell r="AO70">
            <v>10</v>
          </cell>
          <cell r="AP70" t="str">
            <v>e</v>
          </cell>
          <cell r="AQ70" t="str">
            <v>e</v>
          </cell>
          <cell r="AR70" t="str">
            <v>e</v>
          </cell>
          <cell r="AS70" t="str">
            <v>e</v>
          </cell>
          <cell r="AT70" t="str">
            <v>e</v>
          </cell>
          <cell r="AU70" t="str">
            <v>e</v>
          </cell>
          <cell r="AV70" t="str">
            <v>e</v>
          </cell>
          <cell r="AX70" t="str">
            <v/>
          </cell>
          <cell r="AY70" t="str">
            <v/>
          </cell>
          <cell r="AZ70" t="str">
            <v/>
          </cell>
          <cell r="BY70">
            <v>6.1918597824718981E-6</v>
          </cell>
          <cell r="BZ70" t="str">
            <v/>
          </cell>
          <cell r="CA70">
            <v>4.4237831040242674E-5</v>
          </cell>
          <cell r="CB70" t="str">
            <v/>
          </cell>
          <cell r="CC70">
            <v>3.956172546861431E-5</v>
          </cell>
          <cell r="CD70" t="str">
            <v/>
          </cell>
          <cell r="CE70">
            <v>1.6514332821191757E-5</v>
          </cell>
          <cell r="CF70" t="str">
            <v/>
          </cell>
          <cell r="CG70">
            <v>1.3206496511415189E-5</v>
          </cell>
          <cell r="CH70" t="str">
            <v/>
          </cell>
          <cell r="CI70">
            <v>4.7946724522417516E-5</v>
          </cell>
          <cell r="CJ70" t="str">
            <v/>
          </cell>
          <cell r="CK70">
            <v>4.1705435482655397E-5</v>
          </cell>
          <cell r="CL70" t="str">
            <v/>
          </cell>
          <cell r="CM70">
            <v>9.1587434341251539E-5</v>
          </cell>
          <cell r="CN70" t="str">
            <v/>
          </cell>
          <cell r="CP70" t="e">
            <v>#VALUE!</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G70">
            <v>0</v>
          </cell>
          <cell r="DH70">
            <v>0</v>
          </cell>
          <cell r="DJ70">
            <v>0.32633037556237721</v>
          </cell>
          <cell r="DK70" t="str">
            <v/>
          </cell>
        </row>
        <row r="71">
          <cell r="CP71" t="e">
            <v>#REF!</v>
          </cell>
        </row>
        <row r="74">
          <cell r="AX74">
            <v>26</v>
          </cell>
          <cell r="AY74">
            <v>32</v>
          </cell>
          <cell r="AZ74">
            <v>32</v>
          </cell>
          <cell r="BA74">
            <v>32</v>
          </cell>
          <cell r="BB74">
            <v>32</v>
          </cell>
          <cell r="BC74">
            <v>24</v>
          </cell>
          <cell r="BD74">
            <v>32</v>
          </cell>
          <cell r="BE74">
            <v>30</v>
          </cell>
        </row>
        <row r="75">
          <cell r="AX75" t="str">
            <v>j7</v>
          </cell>
          <cell r="AY75" t="str">
            <v>j1</v>
          </cell>
          <cell r="AZ75" t="str">
            <v>j2</v>
          </cell>
          <cell r="BA75" t="str">
            <v>j3</v>
          </cell>
          <cell r="BB75" t="str">
            <v>j4</v>
          </cell>
          <cell r="BC75" t="str">
            <v>j5</v>
          </cell>
          <cell r="BD75" t="str">
            <v>j6</v>
          </cell>
          <cell r="BE75" t="str">
            <v>j7</v>
          </cell>
          <cell r="BH75" t="str">
            <v>j3</v>
          </cell>
          <cell r="BI75" t="str">
            <v>j4</v>
          </cell>
          <cell r="BJ75" t="str">
            <v>j5</v>
          </cell>
          <cell r="BK75" t="str">
            <v>j6</v>
          </cell>
          <cell r="BL75" t="str">
            <v>j7</v>
          </cell>
          <cell r="BM75" t="str">
            <v>j8</v>
          </cell>
        </row>
        <row r="76">
          <cell r="AX76" t="str">
            <v>Zaragoza Quentin</v>
          </cell>
          <cell r="AY76" t="str">
            <v>Ravel Serge</v>
          </cell>
          <cell r="AZ76" t="str">
            <v>Guehennec Benoit</v>
          </cell>
          <cell r="BA76" t="str">
            <v>Guehennec Benoit</v>
          </cell>
          <cell r="BB76" t="str">
            <v>Zaragoza Quentin</v>
          </cell>
          <cell r="BC76" t="e">
            <v>#NUM!</v>
          </cell>
          <cell r="BD76" t="str">
            <v>Guillotin Marie-Paule</v>
          </cell>
          <cell r="BE76" t="str">
            <v>Sail Anthony</v>
          </cell>
        </row>
        <row r="77">
          <cell r="AX77" t="str">
            <v>Bousseau Yannick</v>
          </cell>
          <cell r="AY77" t="str">
            <v>Guehennec Benoit</v>
          </cell>
          <cell r="AZ77" t="str">
            <v>Ravel Serge</v>
          </cell>
          <cell r="BA77" t="str">
            <v>Ravel Serge</v>
          </cell>
          <cell r="BB77" t="str">
            <v>Zaragoza José</v>
          </cell>
          <cell r="BC77" t="e">
            <v>#NUM!</v>
          </cell>
          <cell r="BD77" t="str">
            <v>Ravel Serge</v>
          </cell>
          <cell r="BE77" t="str">
            <v>Ravel Serge</v>
          </cell>
        </row>
        <row r="78">
          <cell r="AX78" t="str">
            <v>Craineguy David</v>
          </cell>
          <cell r="AY78" t="str">
            <v>Guillotin Marie-Paule</v>
          </cell>
          <cell r="AZ78" t="str">
            <v>Sail Anthony</v>
          </cell>
          <cell r="BA78" t="str">
            <v>Sail Anthony</v>
          </cell>
          <cell r="BB78" t="str">
            <v>Jugé Léana</v>
          </cell>
          <cell r="BC78" t="e">
            <v>#NUM!</v>
          </cell>
          <cell r="BD78" t="str">
            <v>Sail Anthony</v>
          </cell>
          <cell r="BE78" t="str">
            <v>Guehennec Benoit</v>
          </cell>
        </row>
        <row r="79">
          <cell r="AX79" t="str">
            <v>Jugé Léana</v>
          </cell>
          <cell r="AY79" t="str">
            <v>Sail Anthony</v>
          </cell>
          <cell r="AZ79" t="str">
            <v>Jugé Léana</v>
          </cell>
          <cell r="BA79" t="str">
            <v>Guillotin Marie-Paule</v>
          </cell>
          <cell r="BB79" t="str">
            <v>Bousseau Yannick</v>
          </cell>
          <cell r="BC79" t="e">
            <v>#NUM!</v>
          </cell>
          <cell r="BD79" t="str">
            <v>Jugé Léana</v>
          </cell>
          <cell r="BE79" t="str">
            <v>Guillotin Marie-Paule</v>
          </cell>
        </row>
        <row r="80">
          <cell r="AX80" t="str">
            <v/>
          </cell>
          <cell r="AY80" t="e">
            <v>#NUM!</v>
          </cell>
          <cell r="AZ80" t="e">
            <v>#NUM!</v>
          </cell>
          <cell r="BA80" t="e">
            <v>#NUM!</v>
          </cell>
          <cell r="BB80" t="str">
            <v>Ravel Serge</v>
          </cell>
          <cell r="BC80" t="e">
            <v>#NUM!</v>
          </cell>
          <cell r="BD80" t="e">
            <v>#NUM!</v>
          </cell>
          <cell r="BE80" t="e">
            <v>#NUM!</v>
          </cell>
        </row>
        <row r="81">
          <cell r="AX81" t="str">
            <v/>
          </cell>
          <cell r="AY81" t="e">
            <v>#NUM!</v>
          </cell>
          <cell r="AZ81" t="e">
            <v>#NUM!</v>
          </cell>
          <cell r="BA81" t="e">
            <v>#NUM!</v>
          </cell>
          <cell r="BB81" t="str">
            <v>Guillotin Marie-Paule</v>
          </cell>
          <cell r="BC81" t="e">
            <v>#NUM!</v>
          </cell>
          <cell r="BD81" t="e">
            <v>#NUM!</v>
          </cell>
          <cell r="BE81" t="e">
            <v>#NUM!</v>
          </cell>
        </row>
        <row r="82">
          <cell r="B82" t="str">
            <v>Brient Jean-François</v>
          </cell>
          <cell r="D82">
            <v>18</v>
          </cell>
          <cell r="E82">
            <v>18</v>
          </cell>
          <cell r="I82" t="str">
            <v>Roszak Martin</v>
          </cell>
          <cell r="K82">
            <v>9</v>
          </cell>
          <cell r="L82">
            <v>21</v>
          </cell>
          <cell r="P82" t="str">
            <v>Le Garnec Sacha</v>
          </cell>
          <cell r="R82">
            <v>11</v>
          </cell>
          <cell r="S82">
            <v>18</v>
          </cell>
          <cell r="W82" t="str">
            <v>Baudais Luc</v>
          </cell>
          <cell r="Y82">
            <v>12</v>
          </cell>
          <cell r="Z82">
            <v>21</v>
          </cell>
          <cell r="AD82" t="str">
            <v>Allano Antoine</v>
          </cell>
          <cell r="AF82">
            <v>6</v>
          </cell>
          <cell r="AG82">
            <v>18</v>
          </cell>
          <cell r="AK82" t="str">
            <v>Dayot Franck</v>
          </cell>
          <cell r="AM82">
            <v>16</v>
          </cell>
          <cell r="AN82">
            <v>21</v>
          </cell>
          <cell r="AR82" t="str">
            <v>Bousseau Yannick</v>
          </cell>
          <cell r="AT82">
            <v>1</v>
          </cell>
          <cell r="AU82">
            <v>21</v>
          </cell>
          <cell r="AY82" t="str">
            <v>Ravel Serge</v>
          </cell>
          <cell r="AZ82">
            <v>0</v>
          </cell>
          <cell r="BA82">
            <v>5</v>
          </cell>
          <cell r="BB82">
            <v>18</v>
          </cell>
        </row>
        <row r="83">
          <cell r="B83" t="str">
            <v>Nicolas Jérémy</v>
          </cell>
          <cell r="D83">
            <v>9</v>
          </cell>
          <cell r="E83">
            <v>15</v>
          </cell>
          <cell r="I83" t="str">
            <v>Morin Quentin</v>
          </cell>
          <cell r="K83">
            <v>6</v>
          </cell>
          <cell r="L83">
            <v>15</v>
          </cell>
          <cell r="P83" t="str">
            <v>Morin Emmanuel</v>
          </cell>
          <cell r="R83">
            <v>8</v>
          </cell>
          <cell r="S83">
            <v>18</v>
          </cell>
          <cell r="W83" t="str">
            <v>Rochefort Reginald</v>
          </cell>
          <cell r="Y83">
            <v>10</v>
          </cell>
          <cell r="Z83">
            <v>18</v>
          </cell>
          <cell r="AD83" t="str">
            <v>Le Cam Alan</v>
          </cell>
          <cell r="AF83">
            <v>7</v>
          </cell>
          <cell r="AG83">
            <v>18</v>
          </cell>
          <cell r="AK83" t="str">
            <v>Lecossier Michel</v>
          </cell>
          <cell r="AM83">
            <v>13</v>
          </cell>
          <cell r="AN83">
            <v>15</v>
          </cell>
          <cell r="AR83" t="str">
            <v>Zaragoza Quentin</v>
          </cell>
          <cell r="AT83">
            <v>4</v>
          </cell>
          <cell r="AU83">
            <v>18</v>
          </cell>
          <cell r="AY83" t="str">
            <v>Sail Anthony</v>
          </cell>
          <cell r="AZ83">
            <v>0</v>
          </cell>
          <cell r="BA83">
            <v>3</v>
          </cell>
          <cell r="BB83">
            <v>15</v>
          </cell>
        </row>
        <row r="84">
          <cell r="B84" t="str">
            <v>Couture Nicolas</v>
          </cell>
          <cell r="D84">
            <v>10</v>
          </cell>
          <cell r="E84">
            <v>15</v>
          </cell>
          <cell r="I84" t="str">
            <v>Roszak Clément</v>
          </cell>
          <cell r="K84">
            <v>15</v>
          </cell>
          <cell r="L84">
            <v>15</v>
          </cell>
          <cell r="P84" t="str">
            <v>Cojean Youen</v>
          </cell>
          <cell r="R84">
            <v>8</v>
          </cell>
          <cell r="S84">
            <v>15</v>
          </cell>
          <cell r="W84" t="str">
            <v>Mierzwa Julien</v>
          </cell>
          <cell r="Y84">
            <v>7</v>
          </cell>
          <cell r="Z84">
            <v>15</v>
          </cell>
          <cell r="AD84" t="str">
            <v>Touche Rémy</v>
          </cell>
          <cell r="AF84">
            <v>11</v>
          </cell>
          <cell r="AG84">
            <v>15</v>
          </cell>
          <cell r="AK84" t="str">
            <v>Boulaire Emile</v>
          </cell>
          <cell r="AM84">
            <v>8</v>
          </cell>
          <cell r="AN84">
            <v>15</v>
          </cell>
          <cell r="AR84" t="str">
            <v>Zaragoza José</v>
          </cell>
          <cell r="AT84">
            <v>12</v>
          </cell>
          <cell r="AU84">
            <v>15</v>
          </cell>
          <cell r="AY84" t="str">
            <v>Guehennec Benoit</v>
          </cell>
          <cell r="AZ84">
            <v>15</v>
          </cell>
          <cell r="BA84">
            <v>9</v>
          </cell>
          <cell r="BB84">
            <v>12</v>
          </cell>
        </row>
        <row r="85">
          <cell r="B85" t="str">
            <v>Flégeau Matthieu</v>
          </cell>
          <cell r="D85">
            <v>10</v>
          </cell>
          <cell r="E85">
            <v>12</v>
          </cell>
          <cell r="I85" t="str">
            <v>Faulkner Thierry</v>
          </cell>
          <cell r="K85">
            <v>11</v>
          </cell>
          <cell r="L85">
            <v>12</v>
          </cell>
          <cell r="P85" t="str">
            <v>Hilton Franck</v>
          </cell>
          <cell r="R85">
            <v>8</v>
          </cell>
          <cell r="S85">
            <v>12</v>
          </cell>
          <cell r="W85" t="str">
            <v>Colombel Guy</v>
          </cell>
          <cell r="Y85">
            <v>7</v>
          </cell>
          <cell r="Z85">
            <v>12</v>
          </cell>
          <cell r="AD85" t="str">
            <v>Morin Léa</v>
          </cell>
          <cell r="AF85">
            <v>11</v>
          </cell>
          <cell r="AG85">
            <v>15</v>
          </cell>
          <cell r="AK85" t="str">
            <v>Le Cam Corentin</v>
          </cell>
          <cell r="AM85">
            <v>3</v>
          </cell>
          <cell r="AN85">
            <v>12</v>
          </cell>
          <cell r="AR85" t="str">
            <v>Craineguy David</v>
          </cell>
          <cell r="AT85">
            <v>1</v>
          </cell>
          <cell r="AU85">
            <v>9</v>
          </cell>
          <cell r="AY85" t="str">
            <v>Guillotin Marie-Paule</v>
          </cell>
          <cell r="AZ85">
            <v>5</v>
          </cell>
          <cell r="BA85">
            <v>4</v>
          </cell>
          <cell r="BB85">
            <v>15</v>
          </cell>
        </row>
        <row r="86">
          <cell r="B86" t="str">
            <v>Beyl Yann</v>
          </cell>
          <cell r="D86">
            <v>8</v>
          </cell>
          <cell r="E86">
            <v>12</v>
          </cell>
          <cell r="I86" t="str">
            <v>Nicolas Jérémy</v>
          </cell>
          <cell r="K86">
            <v>5</v>
          </cell>
          <cell r="L86">
            <v>6</v>
          </cell>
          <cell r="P86" t="str">
            <v>Morin Léa</v>
          </cell>
          <cell r="R86">
            <v>1</v>
          </cell>
          <cell r="S86">
            <v>3</v>
          </cell>
          <cell r="W86" t="str">
            <v>Couture Christophe</v>
          </cell>
          <cell r="Y86">
            <v>5</v>
          </cell>
          <cell r="Z86">
            <v>9</v>
          </cell>
          <cell r="AD86" t="str">
            <v>Vilain Benjamin</v>
          </cell>
          <cell r="AF86">
            <v>11</v>
          </cell>
          <cell r="AG86">
            <v>15</v>
          </cell>
          <cell r="AK86" t="str">
            <v>Lorho Mathieu</v>
          </cell>
          <cell r="AM86">
            <v>8</v>
          </cell>
          <cell r="AN86">
            <v>9</v>
          </cell>
          <cell r="AR86" t="str">
            <v>Jugé Léana</v>
          </cell>
          <cell r="AT86">
            <v>0</v>
          </cell>
          <cell r="AU86">
            <v>6</v>
          </cell>
          <cell r="AY86" t="str">
            <v>Jugé Léana</v>
          </cell>
          <cell r="AZ86">
            <v>1</v>
          </cell>
          <cell r="BA86">
            <v>1</v>
          </cell>
          <cell r="BB86">
            <v>9</v>
          </cell>
        </row>
        <row r="87">
          <cell r="B87" t="str">
            <v>Trin Kilian</v>
          </cell>
          <cell r="D87">
            <v>3</v>
          </cell>
          <cell r="E87">
            <v>6</v>
          </cell>
          <cell r="I87" t="str">
            <v>Hilton Franck</v>
          </cell>
          <cell r="K87">
            <v>6</v>
          </cell>
          <cell r="L87">
            <v>6</v>
          </cell>
          <cell r="P87" t="str">
            <v>Vilain Benjamin</v>
          </cell>
          <cell r="R87">
            <v>3</v>
          </cell>
          <cell r="S87">
            <v>3</v>
          </cell>
          <cell r="W87" t="str">
            <v>Morin Quentin</v>
          </cell>
          <cell r="Y87">
            <v>2</v>
          </cell>
          <cell r="Z87">
            <v>3</v>
          </cell>
          <cell r="AD87" t="str">
            <v>Le Cam Corentin</v>
          </cell>
          <cell r="AF87">
            <v>0</v>
          </cell>
          <cell r="AG87">
            <v>3</v>
          </cell>
          <cell r="AK87" t="str">
            <v>Zaragoza José</v>
          </cell>
          <cell r="AM87">
            <v>3</v>
          </cell>
          <cell r="AN87">
            <v>3</v>
          </cell>
          <cell r="AR87" t="str">
            <v>Sail Rémy</v>
          </cell>
          <cell r="AT87">
            <v>3</v>
          </cell>
          <cell r="AU87">
            <v>6</v>
          </cell>
          <cell r="AY87" t="str">
            <v/>
          </cell>
          <cell r="AZ87">
            <v>0</v>
          </cell>
          <cell r="BA87" t="str">
            <v/>
          </cell>
          <cell r="BB87" t="str">
            <v/>
          </cell>
        </row>
        <row r="88">
          <cell r="B88" t="str">
            <v>Roszak Clément</v>
          </cell>
          <cell r="D88">
            <v>2</v>
          </cell>
          <cell r="E88">
            <v>3</v>
          </cell>
          <cell r="I88" t="str">
            <v>Colombel Guy</v>
          </cell>
          <cell r="K88">
            <v>1</v>
          </cell>
          <cell r="L88">
            <v>3</v>
          </cell>
          <cell r="P88" t="str">
            <v/>
          </cell>
          <cell r="R88" t="str">
            <v/>
          </cell>
          <cell r="S88" t="str">
            <v/>
          </cell>
          <cell r="W88" t="str">
            <v>Morin Léa</v>
          </cell>
          <cell r="Y88">
            <v>1</v>
          </cell>
          <cell r="Z88">
            <v>3</v>
          </cell>
          <cell r="AD88" t="str">
            <v/>
          </cell>
          <cell r="AF88" t="str">
            <v/>
          </cell>
          <cell r="AG88" t="str">
            <v/>
          </cell>
          <cell r="AK88" t="str">
            <v>Touche Rémy</v>
          </cell>
          <cell r="AM88">
            <v>3</v>
          </cell>
          <cell r="AN88">
            <v>6</v>
          </cell>
          <cell r="AR88" t="str">
            <v>Simon Titouan</v>
          </cell>
          <cell r="AT88">
            <v>0</v>
          </cell>
          <cell r="AU88">
            <v>3</v>
          </cell>
          <cell r="AY88" t="str">
            <v/>
          </cell>
          <cell r="AZ88">
            <v>0</v>
          </cell>
          <cell r="BA88" t="str">
            <v/>
          </cell>
          <cell r="BB88" t="str">
            <v/>
          </cell>
        </row>
        <row r="89">
          <cell r="B89" t="str">
            <v>Morin Quentin</v>
          </cell>
          <cell r="D89">
            <v>0</v>
          </cell>
          <cell r="E89">
            <v>3</v>
          </cell>
          <cell r="I89" t="str">
            <v>Cojean Youen</v>
          </cell>
          <cell r="K89">
            <v>2</v>
          </cell>
          <cell r="L89">
            <v>3</v>
          </cell>
          <cell r="P89" t="str">
            <v/>
          </cell>
          <cell r="R89" t="str">
            <v/>
          </cell>
          <cell r="S89" t="str">
            <v/>
          </cell>
          <cell r="W89" t="str">
            <v/>
          </cell>
          <cell r="Y89" t="str">
            <v/>
          </cell>
          <cell r="Z89" t="str">
            <v/>
          </cell>
          <cell r="AD89" t="str">
            <v/>
          </cell>
          <cell r="AF89" t="str">
            <v/>
          </cell>
          <cell r="AG89" t="str">
            <v/>
          </cell>
          <cell r="AK89" t="str">
            <v/>
          </cell>
          <cell r="AM89" t="str">
            <v/>
          </cell>
          <cell r="AN89" t="str">
            <v/>
          </cell>
          <cell r="AR89" t="str">
            <v>Ayoul-Bellot Thais</v>
          </cell>
          <cell r="AT89">
            <v>0</v>
          </cell>
          <cell r="AU89">
            <v>3</v>
          </cell>
          <cell r="AY89" t="str">
            <v/>
          </cell>
          <cell r="AZ89">
            <v>0</v>
          </cell>
          <cell r="BA89" t="str">
            <v/>
          </cell>
          <cell r="BB89" t="str">
            <v/>
          </cell>
        </row>
        <row r="90">
          <cell r="B90" t="str">
            <v/>
          </cell>
          <cell r="D90" t="str">
            <v/>
          </cell>
          <cell r="E90" t="str">
            <v/>
          </cell>
          <cell r="I90" t="str">
            <v>Couture Christophe</v>
          </cell>
          <cell r="K90">
            <v>0</v>
          </cell>
          <cell r="L90">
            <v>3</v>
          </cell>
          <cell r="P90" t="str">
            <v/>
          </cell>
          <cell r="R90" t="str">
            <v/>
          </cell>
          <cell r="S90" t="str">
            <v/>
          </cell>
          <cell r="W90" t="str">
            <v/>
          </cell>
          <cell r="Y90" t="str">
            <v/>
          </cell>
          <cell r="Z90" t="str">
            <v/>
          </cell>
          <cell r="AD90" t="str">
            <v/>
          </cell>
          <cell r="AF90" t="str">
            <v/>
          </cell>
          <cell r="AG90" t="str">
            <v/>
          </cell>
          <cell r="AR90" t="str">
            <v>Cojean Gwendal</v>
          </cell>
          <cell r="AT90">
            <v>0</v>
          </cell>
          <cell r="AU90">
            <v>3</v>
          </cell>
          <cell r="AY90" t="str">
            <v/>
          </cell>
          <cell r="AZ90">
            <v>0</v>
          </cell>
          <cell r="BA90" t="str">
            <v/>
          </cell>
          <cell r="BB90" t="str">
            <v/>
          </cell>
        </row>
        <row r="91">
          <cell r="B91" t="str">
            <v/>
          </cell>
          <cell r="D91" t="str">
            <v/>
          </cell>
          <cell r="E91" t="str">
            <v/>
          </cell>
          <cell r="P91" t="str">
            <v/>
          </cell>
          <cell r="R91" t="str">
            <v/>
          </cell>
          <cell r="S91" t="str">
            <v/>
          </cell>
          <cell r="AY91" t="str">
            <v/>
          </cell>
          <cell r="AZ91">
            <v>0</v>
          </cell>
          <cell r="BA91" t="str">
            <v/>
          </cell>
          <cell r="BB91" t="str">
            <v/>
          </cell>
        </row>
        <row r="92">
          <cell r="BB92">
            <v>3</v>
          </cell>
        </row>
      </sheetData>
      <sheetData sheetId="19">
        <row r="1">
          <cell r="B1" t="str">
            <v>CRITERIUM  FEDERAL</v>
          </cell>
          <cell r="K1" t="str">
            <v>2014 / 2015</v>
          </cell>
        </row>
        <row r="2">
          <cell r="B2" t="str">
            <v>32 participations</v>
          </cell>
          <cell r="C2" t="str">
            <v xml:space="preserve"> dont 8 en Rég. ,1 en Nat.</v>
          </cell>
          <cell r="H2" t="str">
            <v>et 27 en Départementale dont 17 en D1</v>
          </cell>
          <cell r="T2" t="str">
            <v>TOTAL</v>
          </cell>
        </row>
        <row r="3">
          <cell r="B3" t="str">
            <v>10 inscrits dont 3 adultes</v>
          </cell>
          <cell r="D3" t="str">
            <v xml:space="preserve">14 montées et </v>
          </cell>
          <cell r="G3" t="str">
            <v>11 descentes ' théoriques'</v>
          </cell>
          <cell r="N3" t="str">
            <v>( 4 absence(s) )</v>
          </cell>
          <cell r="AO3" t="str">
            <v>Cojean Gwendal</v>
          </cell>
          <cell r="AP3">
            <v>0</v>
          </cell>
          <cell r="AQ3">
            <v>2</v>
          </cell>
          <cell r="AR3" t="str">
            <v>poules</v>
          </cell>
        </row>
        <row r="4">
          <cell r="C4">
            <v>41923</v>
          </cell>
          <cell r="E4">
            <v>41924</v>
          </cell>
          <cell r="G4">
            <v>41972</v>
          </cell>
          <cell r="I4">
            <v>41973</v>
          </cell>
          <cell r="K4">
            <v>42028</v>
          </cell>
          <cell r="M4">
            <v>42029</v>
          </cell>
          <cell r="O4">
            <v>42084</v>
          </cell>
          <cell r="Q4">
            <v>42085</v>
          </cell>
          <cell r="T4" t="str">
            <v>58%</v>
          </cell>
          <cell r="U4" t="str">
            <v>42%</v>
          </cell>
          <cell r="AO4" t="str">
            <v>Zaragoza Quentin</v>
          </cell>
          <cell r="AP4">
            <v>1</v>
          </cell>
          <cell r="AQ4">
            <v>2</v>
          </cell>
          <cell r="AR4" t="str">
            <v>1/16</v>
          </cell>
        </row>
        <row r="5">
          <cell r="C5" t="str">
            <v>J 1</v>
          </cell>
          <cell r="D5" t="str">
            <v>V</v>
          </cell>
          <cell r="E5" t="str">
            <v>D</v>
          </cell>
          <cell r="F5" t="str">
            <v>Clast</v>
          </cell>
          <cell r="G5" t="str">
            <v>J 2</v>
          </cell>
          <cell r="H5" t="str">
            <v>V</v>
          </cell>
          <cell r="I5" t="str">
            <v>D</v>
          </cell>
          <cell r="J5" t="str">
            <v>Clast</v>
          </cell>
          <cell r="K5" t="str">
            <v>J 3</v>
          </cell>
          <cell r="L5" t="str">
            <v>V</v>
          </cell>
          <cell r="M5" t="str">
            <v>D</v>
          </cell>
          <cell r="N5" t="str">
            <v>Clast</v>
          </cell>
          <cell r="O5" t="str">
            <v>J 4</v>
          </cell>
          <cell r="P5" t="str">
            <v>V</v>
          </cell>
          <cell r="Q5" t="str">
            <v>D</v>
          </cell>
          <cell r="R5" t="str">
            <v>Clast</v>
          </cell>
          <cell r="T5" t="str">
            <v>Vict</v>
          </cell>
          <cell r="U5" t="str">
            <v>Déf</v>
          </cell>
          <cell r="AO5" t="str">
            <v>Sail Rémy</v>
          </cell>
          <cell r="AP5">
            <v>3</v>
          </cell>
          <cell r="AQ5">
            <v>1</v>
          </cell>
          <cell r="AR5" t="str">
            <v>1/8</v>
          </cell>
        </row>
        <row r="6">
          <cell r="B6" t="str">
            <v>Hilton Franck</v>
          </cell>
          <cell r="C6" t="str">
            <v>D2</v>
          </cell>
          <cell r="D6">
            <v>6</v>
          </cell>
          <cell r="E6">
            <v>1</v>
          </cell>
          <cell r="F6" t="str">
            <v>1er</v>
          </cell>
          <cell r="G6" t="str">
            <v>D1</v>
          </cell>
          <cell r="H6">
            <v>5</v>
          </cell>
          <cell r="I6">
            <v>2</v>
          </cell>
          <cell r="J6" t="str">
            <v>2ème</v>
          </cell>
          <cell r="K6" t="str">
            <v>Rég</v>
          </cell>
          <cell r="L6">
            <v>1</v>
          </cell>
          <cell r="M6">
            <v>7</v>
          </cell>
          <cell r="N6" t="str">
            <v>20ème</v>
          </cell>
          <cell r="O6" t="str">
            <v>D1</v>
          </cell>
          <cell r="P6">
            <v>5</v>
          </cell>
          <cell r="Q6">
            <v>1</v>
          </cell>
          <cell r="R6" t="str">
            <v>3ème</v>
          </cell>
          <cell r="T6">
            <v>17</v>
          </cell>
          <cell r="U6">
            <v>11</v>
          </cell>
          <cell r="V6">
            <v>28</v>
          </cell>
          <cell r="AO6" t="str">
            <v>Le Garnec Sacha</v>
          </cell>
          <cell r="AP6">
            <v>1</v>
          </cell>
          <cell r="AQ6">
            <v>2</v>
          </cell>
          <cell r="AR6" t="str">
            <v>1/16</v>
          </cell>
        </row>
        <row r="7">
          <cell r="B7" t="str">
            <v>Brient Jean-François</v>
          </cell>
          <cell r="C7" t="str">
            <v>Rég</v>
          </cell>
          <cell r="D7">
            <v>8</v>
          </cell>
          <cell r="E7">
            <v>0</v>
          </cell>
          <cell r="F7" t="str">
            <v>1er</v>
          </cell>
          <cell r="G7" t="str">
            <v>Nat2</v>
          </cell>
          <cell r="H7">
            <v>5</v>
          </cell>
          <cell r="I7">
            <v>4</v>
          </cell>
          <cell r="J7" t="str">
            <v>24ème</v>
          </cell>
          <cell r="N7" t="str">
            <v>Abs</v>
          </cell>
          <cell r="R7" t="str">
            <v>Abs</v>
          </cell>
          <cell r="T7">
            <v>13</v>
          </cell>
          <cell r="U7">
            <v>4</v>
          </cell>
          <cell r="V7">
            <v>17</v>
          </cell>
          <cell r="AO7" t="str">
            <v>Morin Quentin</v>
          </cell>
          <cell r="AP7">
            <v>3</v>
          </cell>
          <cell r="AQ7">
            <v>1</v>
          </cell>
          <cell r="AR7" t="str">
            <v>1/8</v>
          </cell>
        </row>
        <row r="8">
          <cell r="B8" t="str">
            <v>Flégeau Matthieu</v>
          </cell>
          <cell r="C8" t="str">
            <v>D1</v>
          </cell>
          <cell r="D8">
            <v>6</v>
          </cell>
          <cell r="E8">
            <v>0</v>
          </cell>
          <cell r="F8" t="str">
            <v>1er</v>
          </cell>
          <cell r="G8" t="str">
            <v>Rég</v>
          </cell>
          <cell r="H8">
            <v>5</v>
          </cell>
          <cell r="I8">
            <v>3</v>
          </cell>
          <cell r="J8" t="str">
            <v>10ème</v>
          </cell>
          <cell r="K8" t="str">
            <v>Rég</v>
          </cell>
          <cell r="L8">
            <v>6</v>
          </cell>
          <cell r="M8">
            <v>2</v>
          </cell>
          <cell r="N8" t="str">
            <v>9ème</v>
          </cell>
          <cell r="R8" t="str">
            <v>Abs</v>
          </cell>
          <cell r="T8">
            <v>17</v>
          </cell>
          <cell r="U8">
            <v>5</v>
          </cell>
          <cell r="V8">
            <v>22</v>
          </cell>
          <cell r="AO8" t="str">
            <v>Lorho Mathieu</v>
          </cell>
          <cell r="AP8">
            <v>0</v>
          </cell>
          <cell r="AQ8">
            <v>2</v>
          </cell>
          <cell r="AR8" t="str">
            <v>poules</v>
          </cell>
        </row>
        <row r="9">
          <cell r="B9" t="str">
            <v>Cojean Youen</v>
          </cell>
          <cell r="C9" t="str">
            <v>D1</v>
          </cell>
          <cell r="D9">
            <v>0</v>
          </cell>
          <cell r="E9">
            <v>6</v>
          </cell>
          <cell r="F9" t="str">
            <v>16ème</v>
          </cell>
          <cell r="G9" t="str">
            <v>D2</v>
          </cell>
          <cell r="H9">
            <v>5</v>
          </cell>
          <cell r="I9">
            <v>1</v>
          </cell>
          <cell r="J9" t="str">
            <v>2ème</v>
          </cell>
          <cell r="K9" t="str">
            <v>D1</v>
          </cell>
          <cell r="L9">
            <v>2</v>
          </cell>
          <cell r="M9">
            <v>4</v>
          </cell>
          <cell r="N9" t="str">
            <v>14ème</v>
          </cell>
          <cell r="O9" t="str">
            <v>D2</v>
          </cell>
          <cell r="P9">
            <v>5</v>
          </cell>
          <cell r="Q9">
            <v>1</v>
          </cell>
          <cell r="R9" t="str">
            <v>2ème</v>
          </cell>
          <cell r="T9">
            <v>12</v>
          </cell>
          <cell r="U9">
            <v>12</v>
          </cell>
          <cell r="V9">
            <v>24</v>
          </cell>
          <cell r="Y9" t="str">
            <v>Champt Bretagne</v>
          </cell>
          <cell r="Z9">
            <v>42162</v>
          </cell>
          <cell r="AO9" t="str">
            <v>Roszak Martin</v>
          </cell>
          <cell r="AP9">
            <v>0</v>
          </cell>
          <cell r="AQ9">
            <v>2</v>
          </cell>
          <cell r="AR9" t="str">
            <v>1/16</v>
          </cell>
        </row>
        <row r="10">
          <cell r="B10" t="str">
            <v>Lorho Mathieu</v>
          </cell>
          <cell r="C10" t="str">
            <v>D3</v>
          </cell>
          <cell r="D10">
            <v>5</v>
          </cell>
          <cell r="E10">
            <v>1</v>
          </cell>
          <cell r="F10" t="str">
            <v>2ème</v>
          </cell>
          <cell r="G10" t="str">
            <v>D2</v>
          </cell>
          <cell r="H10">
            <v>4</v>
          </cell>
          <cell r="I10">
            <v>3</v>
          </cell>
          <cell r="J10" t="str">
            <v>9ème</v>
          </cell>
          <cell r="K10" t="str">
            <v>D2</v>
          </cell>
          <cell r="L10">
            <v>3</v>
          </cell>
          <cell r="M10">
            <v>3</v>
          </cell>
          <cell r="N10" t="str">
            <v>4ème</v>
          </cell>
          <cell r="O10" t="str">
            <v>D1</v>
          </cell>
          <cell r="P10">
            <v>0</v>
          </cell>
          <cell r="Q10">
            <v>6</v>
          </cell>
          <cell r="R10" t="str">
            <v>16ème</v>
          </cell>
          <cell r="T10">
            <v>12</v>
          </cell>
          <cell r="U10">
            <v>13</v>
          </cell>
          <cell r="V10">
            <v>25</v>
          </cell>
          <cell r="Y10" t="str">
            <v>Morin Léa</v>
          </cell>
          <cell r="Z10">
            <v>0</v>
          </cell>
          <cell r="AA10">
            <v>2</v>
          </cell>
          <cell r="AO10" t="str">
            <v>Jugé Léana</v>
          </cell>
          <cell r="AP10">
            <v>0</v>
          </cell>
          <cell r="AQ10">
            <v>4</v>
          </cell>
          <cell r="AR10" t="str">
            <v>1/4</v>
          </cell>
        </row>
        <row r="11">
          <cell r="B11" t="str">
            <v>Allano Antoine</v>
          </cell>
          <cell r="C11" t="str">
            <v>D3</v>
          </cell>
          <cell r="D11">
            <v>3</v>
          </cell>
          <cell r="E11">
            <v>4</v>
          </cell>
          <cell r="F11" t="str">
            <v>4ème</v>
          </cell>
          <cell r="G11" t="str">
            <v>D3</v>
          </cell>
          <cell r="H11">
            <v>4</v>
          </cell>
          <cell r="I11">
            <v>1</v>
          </cell>
          <cell r="J11" t="str">
            <v>2ème</v>
          </cell>
          <cell r="K11" t="str">
            <v>D2</v>
          </cell>
          <cell r="L11">
            <v>2</v>
          </cell>
          <cell r="M11">
            <v>4</v>
          </cell>
          <cell r="N11" t="str">
            <v>11ème</v>
          </cell>
          <cell r="O11" t="str">
            <v>D2</v>
          </cell>
          <cell r="P11">
            <v>2</v>
          </cell>
          <cell r="Q11">
            <v>4</v>
          </cell>
          <cell r="R11" t="str">
            <v>13ème</v>
          </cell>
          <cell r="T11">
            <v>11</v>
          </cell>
          <cell r="U11">
            <v>13</v>
          </cell>
          <cell r="V11">
            <v>24</v>
          </cell>
          <cell r="AO11" t="str">
            <v>Morin Léa</v>
          </cell>
          <cell r="AP11">
            <v>4</v>
          </cell>
          <cell r="AQ11">
            <v>2</v>
          </cell>
          <cell r="AR11" t="str">
            <v>3ème</v>
          </cell>
        </row>
        <row r="12">
          <cell r="B12" t="str">
            <v>Morin Léa</v>
          </cell>
          <cell r="C12" t="str">
            <v>Rég</v>
          </cell>
          <cell r="D12">
            <v>2</v>
          </cell>
          <cell r="E12">
            <v>4</v>
          </cell>
          <cell r="F12" t="str">
            <v>11ème</v>
          </cell>
          <cell r="G12" t="str">
            <v>Rég</v>
          </cell>
          <cell r="H12">
            <v>2</v>
          </cell>
          <cell r="I12">
            <v>4</v>
          </cell>
          <cell r="J12" t="str">
            <v>8ème</v>
          </cell>
          <cell r="K12" t="str">
            <v>Rég</v>
          </cell>
          <cell r="L12">
            <v>2</v>
          </cell>
          <cell r="M12">
            <v>5</v>
          </cell>
          <cell r="N12" t="str">
            <v>14ème</v>
          </cell>
          <cell r="O12" t="str">
            <v>Rég</v>
          </cell>
          <cell r="P12">
            <v>3</v>
          </cell>
          <cell r="Q12">
            <v>3</v>
          </cell>
          <cell r="R12" t="str">
            <v>5ème</v>
          </cell>
          <cell r="T12">
            <v>9</v>
          </cell>
          <cell r="U12">
            <v>16</v>
          </cell>
          <cell r="V12">
            <v>25</v>
          </cell>
        </row>
        <row r="13">
          <cell r="B13" t="str">
            <v>Morin Quentin</v>
          </cell>
          <cell r="C13" t="str">
            <v>D1</v>
          </cell>
          <cell r="D13">
            <v>4</v>
          </cell>
          <cell r="E13">
            <v>2</v>
          </cell>
          <cell r="F13" t="str">
            <v>7ème</v>
          </cell>
          <cell r="G13" t="str">
            <v>D1</v>
          </cell>
          <cell r="H13">
            <v>5</v>
          </cell>
          <cell r="I13">
            <v>2</v>
          </cell>
          <cell r="J13" t="str">
            <v>3ème</v>
          </cell>
          <cell r="K13" t="str">
            <v>D1</v>
          </cell>
          <cell r="L13">
            <v>4</v>
          </cell>
          <cell r="M13">
            <v>2</v>
          </cell>
          <cell r="N13" t="str">
            <v>4ème</v>
          </cell>
          <cell r="O13" t="str">
            <v>D1</v>
          </cell>
          <cell r="P13">
            <v>4</v>
          </cell>
          <cell r="Q13">
            <v>2</v>
          </cell>
          <cell r="R13" t="str">
            <v>7ème</v>
          </cell>
          <cell r="T13">
            <v>17</v>
          </cell>
          <cell r="U13">
            <v>8</v>
          </cell>
          <cell r="V13">
            <v>25</v>
          </cell>
        </row>
        <row r="14">
          <cell r="B14" t="str">
            <v>Sail Rémy</v>
          </cell>
          <cell r="C14" t="str">
            <v>D1</v>
          </cell>
          <cell r="D14">
            <v>5</v>
          </cell>
          <cell r="E14">
            <v>2</v>
          </cell>
          <cell r="F14" t="str">
            <v>9ème</v>
          </cell>
          <cell r="G14" t="str">
            <v>D1</v>
          </cell>
          <cell r="H14">
            <v>4</v>
          </cell>
          <cell r="I14">
            <v>3</v>
          </cell>
          <cell r="J14" t="str">
            <v>7ème</v>
          </cell>
          <cell r="K14" t="str">
            <v>D1</v>
          </cell>
          <cell r="L14">
            <v>4</v>
          </cell>
          <cell r="M14">
            <v>3</v>
          </cell>
          <cell r="N14" t="str">
            <v>10ème</v>
          </cell>
          <cell r="R14" t="str">
            <v>Abs</v>
          </cell>
          <cell r="T14">
            <v>13</v>
          </cell>
          <cell r="U14">
            <v>8</v>
          </cell>
          <cell r="V14">
            <v>21</v>
          </cell>
          <cell r="Y14" t="str">
            <v>Open Cadet/Junior</v>
          </cell>
        </row>
        <row r="15">
          <cell r="B15" t="str">
            <v>Zaragoza Quentin</v>
          </cell>
          <cell r="C15" t="str">
            <v>D1</v>
          </cell>
          <cell r="D15">
            <v>4</v>
          </cell>
          <cell r="E15">
            <v>3</v>
          </cell>
          <cell r="F15" t="str">
            <v>6ème</v>
          </cell>
          <cell r="G15" t="str">
            <v>D1</v>
          </cell>
          <cell r="H15">
            <v>3</v>
          </cell>
          <cell r="I15">
            <v>4</v>
          </cell>
          <cell r="J15" t="str">
            <v>8ème</v>
          </cell>
          <cell r="K15" t="str">
            <v>D1</v>
          </cell>
          <cell r="L15">
            <v>5</v>
          </cell>
          <cell r="M15">
            <v>2</v>
          </cell>
          <cell r="N15" t="str">
            <v>3ème</v>
          </cell>
          <cell r="O15" t="str">
            <v>D1</v>
          </cell>
          <cell r="P15">
            <v>5</v>
          </cell>
          <cell r="Q15">
            <v>1</v>
          </cell>
          <cell r="R15" t="str">
            <v>5ème</v>
          </cell>
          <cell r="T15">
            <v>17</v>
          </cell>
          <cell r="U15">
            <v>10</v>
          </cell>
          <cell r="V15">
            <v>27</v>
          </cell>
          <cell r="Y15" t="str">
            <v>Zaragoza Quentin</v>
          </cell>
          <cell r="Z15">
            <v>5</v>
          </cell>
          <cell r="AA15">
            <v>2</v>
          </cell>
          <cell r="AB15" t="str">
            <v>6ème</v>
          </cell>
        </row>
        <row r="16">
          <cell r="B16" t="str">
            <v/>
          </cell>
          <cell r="T16">
            <v>0</v>
          </cell>
          <cell r="U16">
            <v>0</v>
          </cell>
          <cell r="V16">
            <v>0</v>
          </cell>
        </row>
        <row r="17">
          <cell r="B17" t="str">
            <v/>
          </cell>
          <cell r="T17">
            <v>0</v>
          </cell>
          <cell r="U17">
            <v>0</v>
          </cell>
          <cell r="V17">
            <v>0</v>
          </cell>
          <cell r="AS17" t="str">
            <v>Championnat 56</v>
          </cell>
          <cell r="AT17">
            <v>42119</v>
          </cell>
        </row>
        <row r="18">
          <cell r="B18" t="str">
            <v/>
          </cell>
          <cell r="T18">
            <v>0</v>
          </cell>
          <cell r="U18">
            <v>0</v>
          </cell>
          <cell r="V18">
            <v>0</v>
          </cell>
          <cell r="AS18" t="str">
            <v>Rochefort Reginald</v>
          </cell>
          <cell r="AT18">
            <v>3</v>
          </cell>
          <cell r="AU18">
            <v>1</v>
          </cell>
          <cell r="AV18" t="str">
            <v>1/16</v>
          </cell>
        </row>
        <row r="19">
          <cell r="B19" t="str">
            <v/>
          </cell>
          <cell r="T19">
            <v>0</v>
          </cell>
          <cell r="U19">
            <v>0</v>
          </cell>
          <cell r="V19">
            <v>0</v>
          </cell>
          <cell r="AS19" t="str">
            <v>Vilain Benjamin</v>
          </cell>
          <cell r="AT19">
            <v>0</v>
          </cell>
          <cell r="AU19">
            <v>2</v>
          </cell>
          <cell r="AV19" t="str">
            <v>poules</v>
          </cell>
        </row>
        <row r="20">
          <cell r="B20" t="str">
            <v/>
          </cell>
          <cell r="T20">
            <v>0</v>
          </cell>
          <cell r="U20">
            <v>0</v>
          </cell>
          <cell r="V20">
            <v>0</v>
          </cell>
          <cell r="AS20" t="str">
            <v>Touche Rémy</v>
          </cell>
          <cell r="AT20">
            <v>2</v>
          </cell>
          <cell r="AU20">
            <v>2</v>
          </cell>
          <cell r="AV20" t="str">
            <v>1/16</v>
          </cell>
        </row>
        <row r="21">
          <cell r="B21" t="str">
            <v/>
          </cell>
          <cell r="T21">
            <v>0</v>
          </cell>
          <cell r="U21">
            <v>0</v>
          </cell>
          <cell r="V21">
            <v>0</v>
          </cell>
          <cell r="Y21" t="str">
            <v>Final/clast/Bret</v>
          </cell>
          <cell r="Z21">
            <v>42127</v>
          </cell>
          <cell r="AS21" t="str">
            <v>Baudais Luc</v>
          </cell>
          <cell r="AT21">
            <v>2</v>
          </cell>
          <cell r="AU21">
            <v>2</v>
          </cell>
          <cell r="AV21" t="str">
            <v>1/16</v>
          </cell>
        </row>
        <row r="22">
          <cell r="B22" t="str">
            <v/>
          </cell>
          <cell r="T22">
            <v>138</v>
          </cell>
          <cell r="U22">
            <v>100</v>
          </cell>
          <cell r="Y22" t="str">
            <v>Morin Léa</v>
          </cell>
          <cell r="Z22">
            <v>2</v>
          </cell>
          <cell r="AA22">
            <v>4</v>
          </cell>
          <cell r="AB22" t="str">
            <v>8ème</v>
          </cell>
          <cell r="AS22" t="str">
            <v>Morin Emmanuel</v>
          </cell>
          <cell r="AT22">
            <v>5</v>
          </cell>
          <cell r="AU22">
            <v>1</v>
          </cell>
          <cell r="AV22" t="str">
            <v>3ème</v>
          </cell>
        </row>
        <row r="23">
          <cell r="Y23" t="str">
            <v>Morin Quentin</v>
          </cell>
          <cell r="Z23">
            <v>2</v>
          </cell>
          <cell r="AA23">
            <v>1</v>
          </cell>
          <cell r="AB23" t="str">
            <v>9ème</v>
          </cell>
          <cell r="AS23" t="str">
            <v>Couture Christophe</v>
          </cell>
          <cell r="AT23">
            <v>0</v>
          </cell>
          <cell r="AU23">
            <v>2</v>
          </cell>
          <cell r="AV23" t="str">
            <v>poules</v>
          </cell>
        </row>
        <row r="24">
          <cell r="Y24" t="str">
            <v>Couture Nicolas</v>
          </cell>
          <cell r="Z24">
            <v>3</v>
          </cell>
          <cell r="AA24">
            <v>3</v>
          </cell>
          <cell r="AB24" t="str">
            <v>7ème</v>
          </cell>
          <cell r="AS24" t="str">
            <v>Hilton Franck</v>
          </cell>
          <cell r="AT24">
            <v>7</v>
          </cell>
          <cell r="AU24">
            <v>0</v>
          </cell>
          <cell r="AV24" t="str">
            <v>1er</v>
          </cell>
        </row>
        <row r="25">
          <cell r="AS25" t="str">
            <v>Faulkner Thierry</v>
          </cell>
          <cell r="AT25">
            <v>0</v>
          </cell>
          <cell r="AU25">
            <v>2</v>
          </cell>
          <cell r="AV25" t="str">
            <v>poules</v>
          </cell>
        </row>
        <row r="26">
          <cell r="AS26" t="str">
            <v>Roszak Clément</v>
          </cell>
          <cell r="AT26">
            <v>0</v>
          </cell>
          <cell r="AU26">
            <v>2</v>
          </cell>
          <cell r="AV26" t="str">
            <v>poules</v>
          </cell>
        </row>
        <row r="27">
          <cell r="AS27" t="str">
            <v>Couture Nicolas</v>
          </cell>
          <cell r="AT27">
            <v>2</v>
          </cell>
          <cell r="AU27">
            <v>1</v>
          </cell>
          <cell r="AV27" t="str">
            <v>1/8</v>
          </cell>
        </row>
        <row r="28">
          <cell r="AS28" t="str">
            <v>Flégeau Matthieu</v>
          </cell>
          <cell r="AT28">
            <v>0</v>
          </cell>
          <cell r="AU28">
            <v>2</v>
          </cell>
          <cell r="AV28" t="str">
            <v>poules</v>
          </cell>
        </row>
        <row r="29">
          <cell r="Y29" t="str">
            <v>autres( titres…)</v>
          </cell>
          <cell r="Z29">
            <v>0</v>
          </cell>
          <cell r="AS29" t="str">
            <v>Brient Jean-François</v>
          </cell>
          <cell r="AT29">
            <v>5</v>
          </cell>
          <cell r="AU29">
            <v>1</v>
          </cell>
          <cell r="AV29" t="str">
            <v>2ème</v>
          </cell>
        </row>
        <row r="30">
          <cell r="Y30" t="str">
            <v>Brient Jean-François</v>
          </cell>
          <cell r="Z30">
            <v>7</v>
          </cell>
          <cell r="AA30">
            <v>2</v>
          </cell>
        </row>
        <row r="31">
          <cell r="Y31" t="str">
            <v>Morin Léa</v>
          </cell>
          <cell r="Z31">
            <v>7</v>
          </cell>
          <cell r="AA31">
            <v>7</v>
          </cell>
        </row>
        <row r="32">
          <cell r="Y32" t="str">
            <v>Morin Quentin</v>
          </cell>
          <cell r="Z32">
            <v>5</v>
          </cell>
          <cell r="AA32">
            <v>5</v>
          </cell>
        </row>
        <row r="33">
          <cell r="Y33" t="str">
            <v>Morin Emmanuel</v>
          </cell>
          <cell r="Z33">
            <v>4</v>
          </cell>
          <cell r="AA33">
            <v>3</v>
          </cell>
        </row>
        <row r="34">
          <cell r="Y34" t="str">
            <v>Roszak Martin</v>
          </cell>
          <cell r="Z34">
            <v>1</v>
          </cell>
          <cell r="AA34">
            <v>2</v>
          </cell>
        </row>
        <row r="35">
          <cell r="Y35" t="str">
            <v>Faulkner Thierry</v>
          </cell>
          <cell r="Z35">
            <v>3</v>
          </cell>
          <cell r="AA35">
            <v>6</v>
          </cell>
        </row>
        <row r="48">
          <cell r="C48">
            <v>48</v>
          </cell>
          <cell r="D48">
            <v>90</v>
          </cell>
        </row>
        <row r="49">
          <cell r="AC49" t="str">
            <v>Brient Jean-François</v>
          </cell>
          <cell r="AH49">
            <v>0</v>
          </cell>
          <cell r="AI49">
            <v>0</v>
          </cell>
          <cell r="AJ49">
            <v>0</v>
          </cell>
          <cell r="AK49">
            <v>0</v>
          </cell>
          <cell r="AL49">
            <v>0</v>
          </cell>
          <cell r="AM49">
            <v>0</v>
          </cell>
          <cell r="AN49">
            <v>0</v>
          </cell>
          <cell r="AO49">
            <v>0</v>
          </cell>
          <cell r="AP49">
            <v>0</v>
          </cell>
          <cell r="AQ49">
            <v>0</v>
          </cell>
          <cell r="AR49">
            <v>7</v>
          </cell>
          <cell r="AS49">
            <v>2</v>
          </cell>
          <cell r="AT49">
            <v>0</v>
          </cell>
          <cell r="AU49">
            <v>0</v>
          </cell>
          <cell r="AV49">
            <v>0</v>
          </cell>
          <cell r="AW49">
            <v>0</v>
          </cell>
          <cell r="AX49">
            <v>0</v>
          </cell>
          <cell r="AY49">
            <v>0</v>
          </cell>
          <cell r="AZ49">
            <v>0</v>
          </cell>
          <cell r="BA49">
            <v>0</v>
          </cell>
          <cell r="BB49">
            <v>0</v>
          </cell>
          <cell r="BC49">
            <v>0</v>
          </cell>
          <cell r="BD49">
            <v>5</v>
          </cell>
          <cell r="BE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12</v>
          </cell>
          <cell r="DE49">
            <v>12</v>
          </cell>
          <cell r="DF49">
            <v>3</v>
          </cell>
          <cell r="DG49">
            <v>3</v>
          </cell>
          <cell r="DH49">
            <v>15</v>
          </cell>
        </row>
        <row r="50">
          <cell r="AC50" t="str">
            <v>Beyl Yann</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row>
        <row r="51">
          <cell r="AC51" t="str">
            <v>Flégeau Matthieu</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2</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2</v>
          </cell>
          <cell r="DG51">
            <v>2</v>
          </cell>
          <cell r="DH51">
            <v>2</v>
          </cell>
        </row>
        <row r="52">
          <cell r="AC52" t="str">
            <v>Couture Nicolas</v>
          </cell>
          <cell r="AH52">
            <v>0</v>
          </cell>
          <cell r="AI52">
            <v>0</v>
          </cell>
          <cell r="AJ52">
            <v>0</v>
          </cell>
          <cell r="AK52">
            <v>0</v>
          </cell>
          <cell r="AL52">
            <v>0</v>
          </cell>
          <cell r="AM52">
            <v>0</v>
          </cell>
          <cell r="AN52">
            <v>0</v>
          </cell>
          <cell r="AO52">
            <v>0</v>
          </cell>
          <cell r="AP52">
            <v>3</v>
          </cell>
          <cell r="AQ52">
            <v>3</v>
          </cell>
          <cell r="AR52">
            <v>0</v>
          </cell>
          <cell r="AS52">
            <v>0</v>
          </cell>
          <cell r="AT52">
            <v>0</v>
          </cell>
          <cell r="AU52">
            <v>0</v>
          </cell>
          <cell r="AV52">
            <v>0</v>
          </cell>
          <cell r="AW52">
            <v>0</v>
          </cell>
          <cell r="AX52">
            <v>0</v>
          </cell>
          <cell r="AY52">
            <v>0</v>
          </cell>
          <cell r="AZ52">
            <v>5</v>
          </cell>
          <cell r="BA52">
            <v>1</v>
          </cell>
          <cell r="BB52">
            <v>0</v>
          </cell>
          <cell r="BC52">
            <v>0</v>
          </cell>
          <cell r="BD52">
            <v>2</v>
          </cell>
          <cell r="BE52">
            <v>1</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10</v>
          </cell>
          <cell r="DE52">
            <v>10</v>
          </cell>
          <cell r="DF52">
            <v>5</v>
          </cell>
          <cell r="DG52">
            <v>5</v>
          </cell>
          <cell r="DH52">
            <v>15</v>
          </cell>
        </row>
        <row r="53">
          <cell r="AC53" t="str">
            <v>Nicolas Jérémy</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row>
        <row r="54">
          <cell r="AC54" t="str">
            <v>Roszak Clément</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2</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2</v>
          </cell>
          <cell r="DG54">
            <v>2</v>
          </cell>
          <cell r="DH54">
            <v>2</v>
          </cell>
        </row>
        <row r="55">
          <cell r="AC55" t="str">
            <v>Trin Kilian</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AC56" t="str">
            <v>Faulkner Thierry</v>
          </cell>
          <cell r="AH56">
            <v>0</v>
          </cell>
          <cell r="AI56">
            <v>0</v>
          </cell>
          <cell r="AJ56">
            <v>0</v>
          </cell>
          <cell r="AK56">
            <v>0</v>
          </cell>
          <cell r="AL56">
            <v>0</v>
          </cell>
          <cell r="AM56">
            <v>0</v>
          </cell>
          <cell r="AN56">
            <v>0</v>
          </cell>
          <cell r="AO56">
            <v>0</v>
          </cell>
          <cell r="AP56">
            <v>0</v>
          </cell>
          <cell r="AQ56">
            <v>0</v>
          </cell>
          <cell r="AR56">
            <v>3</v>
          </cell>
          <cell r="AS56">
            <v>6</v>
          </cell>
          <cell r="AT56">
            <v>0</v>
          </cell>
          <cell r="AU56">
            <v>0</v>
          </cell>
          <cell r="AV56">
            <v>0</v>
          </cell>
          <cell r="AW56">
            <v>0</v>
          </cell>
          <cell r="AX56">
            <v>0</v>
          </cell>
          <cell r="AY56">
            <v>0</v>
          </cell>
          <cell r="AZ56">
            <v>0</v>
          </cell>
          <cell r="BA56">
            <v>0</v>
          </cell>
          <cell r="BB56">
            <v>0</v>
          </cell>
          <cell r="BC56">
            <v>0</v>
          </cell>
          <cell r="BD56">
            <v>0</v>
          </cell>
          <cell r="BE56">
            <v>2</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3</v>
          </cell>
          <cell r="DE56">
            <v>3</v>
          </cell>
          <cell r="DF56">
            <v>8</v>
          </cell>
          <cell r="DG56">
            <v>8</v>
          </cell>
          <cell r="DH56">
            <v>11</v>
          </cell>
        </row>
        <row r="57">
          <cell r="AC57" t="str">
            <v>Couture Christophe</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2</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2</v>
          </cell>
          <cell r="DG57">
            <v>2</v>
          </cell>
          <cell r="DH57">
            <v>2</v>
          </cell>
        </row>
        <row r="58">
          <cell r="AC58" t="str">
            <v>Zaragoza José</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row r="59">
          <cell r="AC59" t="str">
            <v>Baudais Luc</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1</v>
          </cell>
          <cell r="AW59">
            <v>2</v>
          </cell>
          <cell r="AX59">
            <v>0</v>
          </cell>
          <cell r="AY59">
            <v>0</v>
          </cell>
          <cell r="AZ59">
            <v>0</v>
          </cell>
          <cell r="BA59">
            <v>0</v>
          </cell>
          <cell r="BB59">
            <v>0</v>
          </cell>
          <cell r="BC59">
            <v>0</v>
          </cell>
          <cell r="BD59">
            <v>2</v>
          </cell>
          <cell r="BE59">
            <v>2</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3</v>
          </cell>
          <cell r="DE59">
            <v>3</v>
          </cell>
          <cell r="DF59">
            <v>4</v>
          </cell>
          <cell r="DG59">
            <v>4</v>
          </cell>
          <cell r="DH59">
            <v>7</v>
          </cell>
        </row>
        <row r="60">
          <cell r="AC60" t="str">
            <v>Colombel Guy</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3</v>
          </cell>
          <cell r="AW60">
            <v>2</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3</v>
          </cell>
          <cell r="DE60">
            <v>3</v>
          </cell>
          <cell r="DF60">
            <v>2</v>
          </cell>
          <cell r="DG60">
            <v>2</v>
          </cell>
          <cell r="DH60">
            <v>5</v>
          </cell>
        </row>
        <row r="61">
          <cell r="AC61" t="str">
            <v>Roszak Martin</v>
          </cell>
          <cell r="AH61">
            <v>0</v>
          </cell>
          <cell r="AI61">
            <v>0</v>
          </cell>
          <cell r="AJ61">
            <v>0</v>
          </cell>
          <cell r="AK61">
            <v>0</v>
          </cell>
          <cell r="AL61">
            <v>0</v>
          </cell>
          <cell r="AM61">
            <v>0</v>
          </cell>
          <cell r="AN61">
            <v>0</v>
          </cell>
          <cell r="AO61">
            <v>0</v>
          </cell>
          <cell r="AP61">
            <v>0</v>
          </cell>
          <cell r="AQ61">
            <v>0</v>
          </cell>
          <cell r="AR61">
            <v>1</v>
          </cell>
          <cell r="AS61">
            <v>2</v>
          </cell>
          <cell r="AT61">
            <v>0</v>
          </cell>
          <cell r="AU61">
            <v>2</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1</v>
          </cell>
          <cell r="DE61">
            <v>1</v>
          </cell>
          <cell r="DF61">
            <v>4</v>
          </cell>
          <cell r="DG61">
            <v>6</v>
          </cell>
          <cell r="DH61">
            <v>7</v>
          </cell>
        </row>
        <row r="62">
          <cell r="AC62" t="str">
            <v>Dayot Franck</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row>
        <row r="63">
          <cell r="AC63" t="str">
            <v>Morin Emmanuel</v>
          </cell>
          <cell r="AH63">
            <v>0</v>
          </cell>
          <cell r="AI63">
            <v>0</v>
          </cell>
          <cell r="AJ63">
            <v>0</v>
          </cell>
          <cell r="AK63">
            <v>0</v>
          </cell>
          <cell r="AL63">
            <v>0</v>
          </cell>
          <cell r="AM63">
            <v>0</v>
          </cell>
          <cell r="AN63">
            <v>0</v>
          </cell>
          <cell r="AO63">
            <v>0</v>
          </cell>
          <cell r="AP63">
            <v>0</v>
          </cell>
          <cell r="AQ63">
            <v>0</v>
          </cell>
          <cell r="AR63">
            <v>4</v>
          </cell>
          <cell r="AS63">
            <v>3</v>
          </cell>
          <cell r="AT63">
            <v>0</v>
          </cell>
          <cell r="AU63">
            <v>0</v>
          </cell>
          <cell r="AV63">
            <v>0</v>
          </cell>
          <cell r="AW63">
            <v>0</v>
          </cell>
          <cell r="AX63">
            <v>0</v>
          </cell>
          <cell r="AY63">
            <v>0</v>
          </cell>
          <cell r="AZ63">
            <v>2</v>
          </cell>
          <cell r="BA63">
            <v>3</v>
          </cell>
          <cell r="BB63">
            <v>0</v>
          </cell>
          <cell r="BC63">
            <v>0</v>
          </cell>
          <cell r="BD63">
            <v>5</v>
          </cell>
          <cell r="BE63">
            <v>1</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11</v>
          </cell>
          <cell r="DE63">
            <v>11</v>
          </cell>
          <cell r="DF63">
            <v>7</v>
          </cell>
          <cell r="DG63">
            <v>7</v>
          </cell>
          <cell r="DH63">
            <v>18</v>
          </cell>
        </row>
        <row r="64">
          <cell r="AC64" t="str">
            <v>Touche Rémy</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1</v>
          </cell>
          <cell r="AW64">
            <v>2</v>
          </cell>
          <cell r="AX64">
            <v>0</v>
          </cell>
          <cell r="AY64">
            <v>0</v>
          </cell>
          <cell r="AZ64">
            <v>0</v>
          </cell>
          <cell r="BA64">
            <v>0</v>
          </cell>
          <cell r="BB64">
            <v>0</v>
          </cell>
          <cell r="BC64">
            <v>0</v>
          </cell>
          <cell r="BD64">
            <v>2</v>
          </cell>
          <cell r="BE64">
            <v>2</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3</v>
          </cell>
          <cell r="DE64">
            <v>3</v>
          </cell>
          <cell r="DF64">
            <v>4</v>
          </cell>
          <cell r="DG64">
            <v>4</v>
          </cell>
          <cell r="DH64">
            <v>7</v>
          </cell>
        </row>
        <row r="65">
          <cell r="AC65" t="str">
            <v>Hilton Franck</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7</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7</v>
          </cell>
          <cell r="DE65">
            <v>7</v>
          </cell>
          <cell r="DF65">
            <v>0</v>
          </cell>
          <cell r="DG65">
            <v>0</v>
          </cell>
          <cell r="DH65">
            <v>7</v>
          </cell>
        </row>
        <row r="66">
          <cell r="AC66" t="str">
            <v>Lecossier Michel</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row>
        <row r="67">
          <cell r="AC67" t="str">
            <v>Vilain Benjamin</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3</v>
          </cell>
          <cell r="BB67">
            <v>0</v>
          </cell>
          <cell r="BC67">
            <v>0</v>
          </cell>
          <cell r="BD67">
            <v>0</v>
          </cell>
          <cell r="BE67">
            <v>2</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1</v>
          </cell>
          <cell r="DE67">
            <v>1</v>
          </cell>
          <cell r="DF67">
            <v>5</v>
          </cell>
          <cell r="DG67">
            <v>5</v>
          </cell>
          <cell r="DH67">
            <v>6</v>
          </cell>
        </row>
        <row r="68">
          <cell r="AC68" t="str">
            <v>Morin Quentin</v>
          </cell>
          <cell r="AH68">
            <v>0</v>
          </cell>
          <cell r="AI68">
            <v>0</v>
          </cell>
          <cell r="AJ68">
            <v>0</v>
          </cell>
          <cell r="AK68">
            <v>0</v>
          </cell>
          <cell r="AL68">
            <v>0</v>
          </cell>
          <cell r="AM68">
            <v>0</v>
          </cell>
          <cell r="AN68">
            <v>0</v>
          </cell>
          <cell r="AO68">
            <v>0</v>
          </cell>
          <cell r="AP68">
            <v>2</v>
          </cell>
          <cell r="AQ68">
            <v>1</v>
          </cell>
          <cell r="AR68">
            <v>5</v>
          </cell>
          <cell r="AS68">
            <v>5</v>
          </cell>
          <cell r="AT68">
            <v>0</v>
          </cell>
          <cell r="AU68">
            <v>0</v>
          </cell>
          <cell r="AV68">
            <v>0</v>
          </cell>
          <cell r="AW68">
            <v>0</v>
          </cell>
          <cell r="AX68">
            <v>0</v>
          </cell>
          <cell r="AY68">
            <v>0</v>
          </cell>
          <cell r="AZ68">
            <v>4</v>
          </cell>
          <cell r="BA68">
            <v>3</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11</v>
          </cell>
          <cell r="DE68">
            <v>17</v>
          </cell>
          <cell r="DF68">
            <v>9</v>
          </cell>
          <cell r="DG68">
            <v>10</v>
          </cell>
          <cell r="DH68">
            <v>27</v>
          </cell>
        </row>
        <row r="69">
          <cell r="AC69" t="str">
            <v>Rochefort Reginald</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3</v>
          </cell>
          <cell r="BE69">
            <v>1</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3</v>
          </cell>
          <cell r="DE69">
            <v>3</v>
          </cell>
          <cell r="DF69">
            <v>1</v>
          </cell>
          <cell r="DG69">
            <v>1</v>
          </cell>
          <cell r="DH69">
            <v>4</v>
          </cell>
        </row>
        <row r="70">
          <cell r="AC70" t="str">
            <v>Le Garnec Sacha</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1</v>
          </cell>
          <cell r="DF70">
            <v>0</v>
          </cell>
          <cell r="DG70">
            <v>2</v>
          </cell>
          <cell r="DH70">
            <v>3</v>
          </cell>
        </row>
        <row r="71">
          <cell r="AC71" t="str">
            <v>Cojean Youen</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row>
        <row r="72">
          <cell r="AC72" t="str">
            <v>Boulaire Emile</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row>
        <row r="73">
          <cell r="AC73" t="str">
            <v>Mierzwa Julien</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row>
        <row r="74">
          <cell r="AC74" t="str">
            <v>Bousseau Yannick</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row>
        <row r="75">
          <cell r="AC75" t="str">
            <v>Guehennec Benoit</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row>
        <row r="76">
          <cell r="AC76" t="str">
            <v>Sail Rémy</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26</v>
          </cell>
          <cell r="DF76">
            <v>0</v>
          </cell>
          <cell r="DG76">
            <v>2</v>
          </cell>
          <cell r="DH76">
            <v>28</v>
          </cell>
        </row>
        <row r="77">
          <cell r="AC77" t="str">
            <v>Morin Léa</v>
          </cell>
          <cell r="AH77">
            <v>0</v>
          </cell>
          <cell r="AI77">
            <v>2</v>
          </cell>
          <cell r="AJ77">
            <v>0</v>
          </cell>
          <cell r="AK77">
            <v>0</v>
          </cell>
          <cell r="AL77">
            <v>0</v>
          </cell>
          <cell r="AM77">
            <v>0</v>
          </cell>
          <cell r="AN77">
            <v>0</v>
          </cell>
          <cell r="AO77">
            <v>0</v>
          </cell>
          <cell r="AP77">
            <v>2</v>
          </cell>
          <cell r="AQ77">
            <v>4</v>
          </cell>
          <cell r="AR77">
            <v>7</v>
          </cell>
          <cell r="AS77">
            <v>7</v>
          </cell>
          <cell r="AT77">
            <v>0</v>
          </cell>
          <cell r="AU77">
            <v>0</v>
          </cell>
          <cell r="AV77">
            <v>0</v>
          </cell>
          <cell r="AW77">
            <v>0</v>
          </cell>
          <cell r="AX77">
            <v>0</v>
          </cell>
          <cell r="AY77">
            <v>0</v>
          </cell>
          <cell r="AZ77">
            <v>4</v>
          </cell>
          <cell r="BA77">
            <v>1</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13</v>
          </cell>
          <cell r="DE77">
            <v>17</v>
          </cell>
          <cell r="DF77">
            <v>14</v>
          </cell>
          <cell r="DG77">
            <v>16</v>
          </cell>
          <cell r="DH77">
            <v>33</v>
          </cell>
        </row>
        <row r="78">
          <cell r="AC78" t="str">
            <v>Craineguy David</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row>
        <row r="79">
          <cell r="AC79" t="str">
            <v>Le Cam Corentin</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row>
        <row r="80">
          <cell r="AC80" t="str">
            <v>Guillotin Marie-Paule</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1</v>
          </cell>
          <cell r="AW80">
            <v>3</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1</v>
          </cell>
          <cell r="DE80">
            <v>1</v>
          </cell>
          <cell r="DF80">
            <v>3</v>
          </cell>
          <cell r="DG80">
            <v>3</v>
          </cell>
          <cell r="DH80">
            <v>4</v>
          </cell>
        </row>
        <row r="81">
          <cell r="AC81" t="str">
            <v>Lorho Mathieu</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2</v>
          </cell>
          <cell r="DH81">
            <v>2</v>
          </cell>
        </row>
        <row r="82">
          <cell r="AC82" t="str">
            <v>Allano Antoine</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row>
        <row r="83">
          <cell r="AC83" t="str">
            <v>Le Cam Alan</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row>
        <row r="84">
          <cell r="AC84" t="str">
            <v>Jugé Léana</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4</v>
          </cell>
          <cell r="DH84">
            <v>4</v>
          </cell>
        </row>
        <row r="85">
          <cell r="AC85" t="str">
            <v>Simon Titouan</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9</v>
          </cell>
          <cell r="DF85">
            <v>0</v>
          </cell>
          <cell r="DG85">
            <v>21</v>
          </cell>
          <cell r="DH85">
            <v>30</v>
          </cell>
        </row>
        <row r="86">
          <cell r="AC86" t="str">
            <v>Zaragoza Quentin</v>
          </cell>
          <cell r="AH86">
            <v>0</v>
          </cell>
          <cell r="AI86">
            <v>0</v>
          </cell>
          <cell r="AJ86">
            <v>0</v>
          </cell>
          <cell r="AK86">
            <v>0</v>
          </cell>
          <cell r="AL86">
            <v>5</v>
          </cell>
          <cell r="AM86">
            <v>2</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5</v>
          </cell>
          <cell r="DE86">
            <v>15</v>
          </cell>
          <cell r="DF86">
            <v>2</v>
          </cell>
          <cell r="DG86">
            <v>4</v>
          </cell>
          <cell r="DH86">
            <v>19</v>
          </cell>
        </row>
        <row r="87">
          <cell r="AC87" t="str">
            <v>Ayoul-Bellot Thais</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2</v>
          </cell>
          <cell r="DF87">
            <v>0</v>
          </cell>
          <cell r="DG87">
            <v>13</v>
          </cell>
          <cell r="DH87">
            <v>15</v>
          </cell>
        </row>
        <row r="88">
          <cell r="AC88" t="str">
            <v>Ravel Serge</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row>
        <row r="89">
          <cell r="AC89" t="str">
            <v>Sail Anthony</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row>
        <row r="90">
          <cell r="AC90" t="str">
            <v>Cojean Gwendal</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2</v>
          </cell>
          <cell r="DF90">
            <v>0</v>
          </cell>
          <cell r="DG90">
            <v>9</v>
          </cell>
          <cell r="DH90">
            <v>11</v>
          </cell>
        </row>
        <row r="91">
          <cell r="AC91" t="str">
            <v/>
          </cell>
          <cell r="AH91">
            <v>0</v>
          </cell>
          <cell r="AI91">
            <v>0</v>
          </cell>
          <cell r="AJ91">
            <v>0</v>
          </cell>
          <cell r="AK91">
            <v>0</v>
          </cell>
          <cell r="AL91">
            <v>0</v>
          </cell>
          <cell r="AM91">
            <v>0</v>
          </cell>
          <cell r="AN91">
            <v>0</v>
          </cell>
          <cell r="AO91">
            <v>0</v>
          </cell>
          <cell r="AP91">
            <v>0</v>
          </cell>
          <cell r="AQ91">
            <v>0</v>
          </cell>
          <cell r="AR91">
            <v>0</v>
          </cell>
          <cell r="AS91">
            <v>0</v>
          </cell>
          <cell r="AT91">
            <v>0</v>
          </cell>
          <cell r="AU91">
            <v>2</v>
          </cell>
          <cell r="AV91">
            <v>0</v>
          </cell>
          <cell r="AW91">
            <v>0</v>
          </cell>
          <cell r="AX91">
            <v>0</v>
          </cell>
          <cell r="AY91">
            <v>0</v>
          </cell>
          <cell r="AZ91">
            <v>0</v>
          </cell>
          <cell r="BA91">
            <v>0</v>
          </cell>
          <cell r="BB91">
            <v>0</v>
          </cell>
          <cell r="BC91">
            <v>0</v>
          </cell>
          <cell r="BD91">
            <v>0</v>
          </cell>
          <cell r="BE91">
            <v>0</v>
          </cell>
          <cell r="BF91">
            <v>0</v>
          </cell>
          <cell r="BG91">
            <v>0</v>
          </cell>
          <cell r="BH91" t="str">
            <v/>
          </cell>
          <cell r="BI91" t="str">
            <v/>
          </cell>
          <cell r="BJ91" t="str">
            <v/>
          </cell>
          <cell r="BK91" t="str">
            <v/>
          </cell>
          <cell r="BL91" t="str">
            <v/>
          </cell>
          <cell r="BM91" t="str">
            <v/>
          </cell>
          <cell r="BN91" t="str">
            <v/>
          </cell>
          <cell r="BO91" t="str">
            <v/>
          </cell>
          <cell r="BP91" t="str">
            <v/>
          </cell>
          <cell r="BQ91" t="str">
            <v/>
          </cell>
          <cell r="BR91">
            <v>0</v>
          </cell>
          <cell r="BS91">
            <v>0</v>
          </cell>
          <cell r="BT91">
            <v>0</v>
          </cell>
          <cell r="BU91">
            <v>0</v>
          </cell>
          <cell r="BV91">
            <v>0</v>
          </cell>
          <cell r="BW91">
            <v>0</v>
          </cell>
          <cell r="BX91" t="str">
            <v/>
          </cell>
          <cell r="BY91" t="str">
            <v/>
          </cell>
          <cell r="BZ91" t="str">
            <v/>
          </cell>
          <cell r="CA91" t="str">
            <v/>
          </cell>
          <cell r="CB91" t="str">
            <v/>
          </cell>
          <cell r="CC91" t="str">
            <v/>
          </cell>
          <cell r="CD91" t="str">
            <v/>
          </cell>
          <cell r="CE91" t="str">
            <v/>
          </cell>
          <cell r="CF91" t="str">
            <v/>
          </cell>
          <cell r="CG91" t="str">
            <v/>
          </cell>
          <cell r="CH91">
            <v>0</v>
          </cell>
          <cell r="CI91">
            <v>0</v>
          </cell>
          <cell r="CJ91">
            <v>0</v>
          </cell>
          <cell r="CK91">
            <v>0</v>
          </cell>
          <cell r="CL91">
            <v>0</v>
          </cell>
          <cell r="CM91">
            <v>0</v>
          </cell>
          <cell r="CN91" t="str">
            <v/>
          </cell>
          <cell r="CO91" t="str">
            <v/>
          </cell>
          <cell r="CP91" t="str">
            <v/>
          </cell>
          <cell r="CQ91" t="str">
            <v/>
          </cell>
          <cell r="CR91" t="str">
            <v/>
          </cell>
          <cell r="CS91" t="str">
            <v/>
          </cell>
          <cell r="CT91" t="str">
            <v/>
          </cell>
          <cell r="CU91" t="str">
            <v/>
          </cell>
          <cell r="CV91" t="str">
            <v/>
          </cell>
          <cell r="CW91" t="str">
            <v/>
          </cell>
          <cell r="CX91">
            <v>0</v>
          </cell>
          <cell r="CY91">
            <v>0</v>
          </cell>
          <cell r="CZ91">
            <v>0</v>
          </cell>
          <cell r="DA91">
            <v>0</v>
          </cell>
          <cell r="DB91">
            <v>0</v>
          </cell>
          <cell r="DC91">
            <v>0</v>
          </cell>
          <cell r="DD91" t="e">
            <v>#VALUE!</v>
          </cell>
          <cell r="DE91" t="e">
            <v>#VALUE!</v>
          </cell>
          <cell r="DF91" t="e">
            <v>#VALUE!</v>
          </cell>
          <cell r="DG91" t="e">
            <v>#VALUE!</v>
          </cell>
          <cell r="DH91" t="e">
            <v>#VALUE!</v>
          </cell>
        </row>
        <row r="93">
          <cell r="AC93" t="str">
            <v>pas de qualifié !</v>
          </cell>
        </row>
        <row r="94">
          <cell r="AC94" t="str">
            <v>blessé</v>
          </cell>
        </row>
        <row r="95">
          <cell r="AC95" t="str">
            <v>pas d'inscrit</v>
          </cell>
        </row>
      </sheetData>
      <sheetData sheetId="20">
        <row r="1">
          <cell r="Q1">
            <v>55</v>
          </cell>
          <cell r="R1">
            <v>92</v>
          </cell>
          <cell r="AS1">
            <v>39</v>
          </cell>
          <cell r="AT1">
            <v>98</v>
          </cell>
        </row>
        <row r="2">
          <cell r="BN2" t="str">
            <v>Clt</v>
          </cell>
          <cell r="BO2" t="str">
            <v>MTT 1:  R2     C</v>
          </cell>
          <cell r="BP2" t="str">
            <v>Pts</v>
          </cell>
          <cell r="BQ2" t="str">
            <v>Joués</v>
          </cell>
          <cell r="BR2" t="str">
            <v>vic</v>
          </cell>
          <cell r="BU2" t="str">
            <v>PG</v>
          </cell>
          <cell r="BV2" t="str">
            <v>PP</v>
          </cell>
        </row>
        <row r="3">
          <cell r="Q3">
            <v>7</v>
          </cell>
          <cell r="R3">
            <v>7</v>
          </cell>
          <cell r="U3" t="str">
            <v>MUZILLAC TT 1</v>
          </cell>
          <cell r="V3">
            <v>21.000085637019776</v>
          </cell>
          <cell r="W3">
            <v>7</v>
          </cell>
          <cell r="X3">
            <v>7</v>
          </cell>
          <cell r="Y3">
            <v>0</v>
          </cell>
          <cell r="Z3">
            <v>0</v>
          </cell>
          <cell r="AA3">
            <v>78</v>
          </cell>
          <cell r="AB3">
            <v>20</v>
          </cell>
          <cell r="AS3">
            <v>0</v>
          </cell>
          <cell r="AT3">
            <v>0</v>
          </cell>
          <cell r="AW3" t="str">
            <v>AC PLERIN 3</v>
          </cell>
          <cell r="AX3">
            <v>21.000096948836568</v>
          </cell>
          <cell r="AY3">
            <v>7</v>
          </cell>
          <cell r="AZ3">
            <v>7</v>
          </cell>
          <cell r="BA3">
            <v>0</v>
          </cell>
          <cell r="BB3">
            <v>0</v>
          </cell>
          <cell r="BC3">
            <v>77</v>
          </cell>
          <cell r="BD3">
            <v>21</v>
          </cell>
          <cell r="BO3" t="str">
            <v>AC PLERIN 3</v>
          </cell>
          <cell r="BP3">
            <v>21.000096948836568</v>
          </cell>
          <cell r="BQ3">
            <v>7</v>
          </cell>
          <cell r="BR3">
            <v>7</v>
          </cell>
          <cell r="BS3">
            <v>0</v>
          </cell>
          <cell r="BT3">
            <v>0</v>
          </cell>
          <cell r="BU3">
            <v>77</v>
          </cell>
          <cell r="BV3">
            <v>21</v>
          </cell>
        </row>
        <row r="4">
          <cell r="Q4">
            <v>0</v>
          </cell>
          <cell r="R4">
            <v>0</v>
          </cell>
          <cell r="U4" t="str">
            <v>GV HENNEBONT 7</v>
          </cell>
          <cell r="V4">
            <v>18.000014666370486</v>
          </cell>
          <cell r="W4">
            <v>7</v>
          </cell>
          <cell r="X4">
            <v>5</v>
          </cell>
          <cell r="Y4">
            <v>1</v>
          </cell>
          <cell r="Z4">
            <v>1</v>
          </cell>
          <cell r="AA4">
            <v>56</v>
          </cell>
          <cell r="AB4">
            <v>42</v>
          </cell>
          <cell r="AS4">
            <v>5</v>
          </cell>
          <cell r="AT4">
            <v>7</v>
          </cell>
          <cell r="AW4" t="str">
            <v>MUZILLAC TT 1</v>
          </cell>
          <cell r="AX4">
            <v>18.000066441992033</v>
          </cell>
          <cell r="AY4">
            <v>7</v>
          </cell>
          <cell r="AZ4">
            <v>5</v>
          </cell>
          <cell r="BA4">
            <v>1</v>
          </cell>
          <cell r="BB4">
            <v>1</v>
          </cell>
          <cell r="BC4">
            <v>68</v>
          </cell>
          <cell r="BD4">
            <v>30</v>
          </cell>
          <cell r="BO4" t="str">
            <v>MUZILLAC TT 1</v>
          </cell>
          <cell r="BP4">
            <v>18.000066441992033</v>
          </cell>
          <cell r="BQ4">
            <v>7</v>
          </cell>
          <cell r="BR4">
            <v>5</v>
          </cell>
          <cell r="BS4">
            <v>1</v>
          </cell>
          <cell r="BT4">
            <v>1</v>
          </cell>
          <cell r="BU4">
            <v>68</v>
          </cell>
          <cell r="BV4">
            <v>30</v>
          </cell>
        </row>
        <row r="5">
          <cell r="Q5">
            <v>0</v>
          </cell>
          <cell r="R5">
            <v>0</v>
          </cell>
          <cell r="U5" t="str">
            <v>RENNES TA 2</v>
          </cell>
          <cell r="V5">
            <v>15.000093654459938</v>
          </cell>
          <cell r="W5">
            <v>7</v>
          </cell>
          <cell r="X5">
            <v>4</v>
          </cell>
          <cell r="Y5">
            <v>0</v>
          </cell>
          <cell r="Z5">
            <v>3</v>
          </cell>
          <cell r="AA5">
            <v>50</v>
          </cell>
          <cell r="AB5">
            <v>48</v>
          </cell>
          <cell r="AS5">
            <v>0</v>
          </cell>
          <cell r="AT5">
            <v>0</v>
          </cell>
          <cell r="AW5" t="str">
            <v>RENNES TA 3</v>
          </cell>
          <cell r="AX5">
            <v>16.00001179485697</v>
          </cell>
          <cell r="AY5">
            <v>7</v>
          </cell>
          <cell r="AZ5">
            <v>3</v>
          </cell>
          <cell r="BA5">
            <v>3</v>
          </cell>
          <cell r="BB5">
            <v>1</v>
          </cell>
          <cell r="BC5">
            <v>49</v>
          </cell>
          <cell r="BD5">
            <v>49</v>
          </cell>
          <cell r="BO5" t="str">
            <v>RENNES TA 3</v>
          </cell>
          <cell r="BP5">
            <v>16.00001179485697</v>
          </cell>
          <cell r="BQ5">
            <v>7</v>
          </cell>
          <cell r="BR5">
            <v>3</v>
          </cell>
          <cell r="BS5">
            <v>3</v>
          </cell>
          <cell r="BT5">
            <v>1</v>
          </cell>
          <cell r="BU5">
            <v>49</v>
          </cell>
          <cell r="BV5">
            <v>49</v>
          </cell>
        </row>
        <row r="6">
          <cell r="Q6">
            <v>0</v>
          </cell>
          <cell r="R6">
            <v>0</v>
          </cell>
          <cell r="U6" t="str">
            <v>TT PLEMET/PLUMIEUX1</v>
          </cell>
          <cell r="V6">
            <v>15.000008848997764</v>
          </cell>
          <cell r="W6">
            <v>7</v>
          </cell>
          <cell r="X6">
            <v>4</v>
          </cell>
          <cell r="Y6">
            <v>0</v>
          </cell>
          <cell r="Z6">
            <v>3</v>
          </cell>
          <cell r="AA6">
            <v>44</v>
          </cell>
          <cell r="AB6">
            <v>54</v>
          </cell>
          <cell r="AS6">
            <v>0</v>
          </cell>
          <cell r="AT6">
            <v>0</v>
          </cell>
          <cell r="AW6" t="str">
            <v>LE FOLGOET/LESNEVEN 1</v>
          </cell>
          <cell r="AX6">
            <v>15.000012378984755</v>
          </cell>
          <cell r="AY6">
            <v>7</v>
          </cell>
          <cell r="AZ6">
            <v>4</v>
          </cell>
          <cell r="BA6">
            <v>0</v>
          </cell>
          <cell r="BB6">
            <v>3</v>
          </cell>
          <cell r="BC6">
            <v>45</v>
          </cell>
          <cell r="BD6">
            <v>53</v>
          </cell>
          <cell r="BO6" t="str">
            <v>LE FOLGOET/LESNEVEN 1</v>
          </cell>
          <cell r="BP6">
            <v>15.000012378984755</v>
          </cell>
          <cell r="BQ6">
            <v>7</v>
          </cell>
          <cell r="BR6">
            <v>4</v>
          </cell>
          <cell r="BS6">
            <v>0</v>
          </cell>
          <cell r="BT6">
            <v>3</v>
          </cell>
          <cell r="BU6">
            <v>45</v>
          </cell>
          <cell r="BV6">
            <v>53</v>
          </cell>
        </row>
        <row r="7">
          <cell r="Q7">
            <v>0</v>
          </cell>
          <cell r="R7">
            <v>0</v>
          </cell>
          <cell r="U7" t="str">
            <v>AURORE VITRE TT 2</v>
          </cell>
          <cell r="V7">
            <v>13.000044352458966</v>
          </cell>
          <cell r="W7">
            <v>7</v>
          </cell>
          <cell r="X7">
            <v>3</v>
          </cell>
          <cell r="Y7">
            <v>0</v>
          </cell>
          <cell r="Z7">
            <v>4</v>
          </cell>
          <cell r="AA7">
            <v>51</v>
          </cell>
          <cell r="AB7">
            <v>47</v>
          </cell>
          <cell r="AS7">
            <v>0</v>
          </cell>
          <cell r="AT7">
            <v>0</v>
          </cell>
          <cell r="AW7" t="str">
            <v>RP FOUESNANT 5</v>
          </cell>
          <cell r="AX7">
            <v>11.000051023503774</v>
          </cell>
          <cell r="AY7">
            <v>7</v>
          </cell>
          <cell r="AZ7">
            <v>2</v>
          </cell>
          <cell r="BA7">
            <v>0</v>
          </cell>
          <cell r="BB7">
            <v>5</v>
          </cell>
          <cell r="BC7">
            <v>43</v>
          </cell>
          <cell r="BD7">
            <v>55</v>
          </cell>
          <cell r="BO7" t="str">
            <v>RP FOUESNANT 5</v>
          </cell>
          <cell r="BP7">
            <v>11.000051023503774</v>
          </cell>
          <cell r="BQ7">
            <v>7</v>
          </cell>
          <cell r="BR7">
            <v>2</v>
          </cell>
          <cell r="BS7">
            <v>0</v>
          </cell>
          <cell r="BT7">
            <v>5</v>
          </cell>
          <cell r="BU7">
            <v>43</v>
          </cell>
          <cell r="BV7">
            <v>55</v>
          </cell>
        </row>
        <row r="8">
          <cell r="Q8">
            <v>0</v>
          </cell>
          <cell r="R8">
            <v>0</v>
          </cell>
          <cell r="U8" t="str">
            <v>7 ILES PERROS 3</v>
          </cell>
          <cell r="V8">
            <v>12.000084457298803</v>
          </cell>
          <cell r="W8">
            <v>7</v>
          </cell>
          <cell r="X8">
            <v>2</v>
          </cell>
          <cell r="Y8">
            <v>1</v>
          </cell>
          <cell r="Z8">
            <v>4</v>
          </cell>
          <cell r="AA8">
            <v>43</v>
          </cell>
          <cell r="AB8">
            <v>55</v>
          </cell>
          <cell r="AS8">
            <v>0</v>
          </cell>
          <cell r="AT8">
            <v>0</v>
          </cell>
          <cell r="AW8" t="str">
            <v>RENNES AVENIR 4</v>
          </cell>
          <cell r="AX8">
            <v>11.00003133503364</v>
          </cell>
          <cell r="AY8">
            <v>7</v>
          </cell>
          <cell r="AZ8">
            <v>1</v>
          </cell>
          <cell r="BA8">
            <v>2</v>
          </cell>
          <cell r="BB8">
            <v>4</v>
          </cell>
          <cell r="BC8">
            <v>39</v>
          </cell>
          <cell r="BD8">
            <v>59</v>
          </cell>
          <cell r="BO8" t="str">
            <v>RENNES AVENIR 4</v>
          </cell>
          <cell r="BP8">
            <v>11.00003133503364</v>
          </cell>
          <cell r="BQ8">
            <v>7</v>
          </cell>
          <cell r="BR8">
            <v>1</v>
          </cell>
          <cell r="BS8">
            <v>2</v>
          </cell>
          <cell r="BT8">
            <v>4</v>
          </cell>
          <cell r="BU8">
            <v>39</v>
          </cell>
          <cell r="BV8">
            <v>59</v>
          </cell>
        </row>
        <row r="9">
          <cell r="Q9">
            <v>0</v>
          </cell>
          <cell r="R9">
            <v>0</v>
          </cell>
          <cell r="U9" t="str">
            <v>AJK VANNES 2</v>
          </cell>
          <cell r="V9">
            <v>11.000011941617256</v>
          </cell>
          <cell r="W9">
            <v>7</v>
          </cell>
          <cell r="X9">
            <v>2</v>
          </cell>
          <cell r="Y9">
            <v>0</v>
          </cell>
          <cell r="Z9">
            <v>5</v>
          </cell>
          <cell r="AA9">
            <v>43</v>
          </cell>
          <cell r="AB9">
            <v>55</v>
          </cell>
          <cell r="AS9">
            <v>0</v>
          </cell>
          <cell r="AT9">
            <v>0</v>
          </cell>
          <cell r="AW9" t="str">
            <v>TT LA BAIE YFFINIAC 1</v>
          </cell>
          <cell r="AX9">
            <v>11.000003530640576</v>
          </cell>
          <cell r="AY9">
            <v>7</v>
          </cell>
          <cell r="AZ9">
            <v>1</v>
          </cell>
          <cell r="BA9">
            <v>2</v>
          </cell>
          <cell r="BB9">
            <v>4</v>
          </cell>
          <cell r="BC9">
            <v>37</v>
          </cell>
          <cell r="BD9">
            <v>61</v>
          </cell>
          <cell r="BO9" t="str">
            <v>TT LA BAIE YFFINIAC 1</v>
          </cell>
          <cell r="BP9">
            <v>11.000003530640576</v>
          </cell>
          <cell r="BQ9">
            <v>7</v>
          </cell>
          <cell r="BR9">
            <v>1</v>
          </cell>
          <cell r="BS9">
            <v>2</v>
          </cell>
          <cell r="BT9">
            <v>4</v>
          </cell>
          <cell r="BU9">
            <v>37</v>
          </cell>
          <cell r="BV9">
            <v>61</v>
          </cell>
        </row>
        <row r="10">
          <cell r="Q10">
            <v>0</v>
          </cell>
          <cell r="R10">
            <v>0</v>
          </cell>
          <cell r="U10" t="str">
            <v>TT PORDIC 1</v>
          </cell>
          <cell r="V10">
            <v>7.0000083433067699</v>
          </cell>
          <cell r="W10">
            <v>7</v>
          </cell>
          <cell r="X10">
            <v>0</v>
          </cell>
          <cell r="Y10">
            <v>0</v>
          </cell>
          <cell r="Z10">
            <v>7</v>
          </cell>
          <cell r="AA10">
            <v>27</v>
          </cell>
          <cell r="AB10">
            <v>71</v>
          </cell>
          <cell r="AS10">
            <v>0</v>
          </cell>
          <cell r="AT10">
            <v>0</v>
          </cell>
          <cell r="AW10" t="str">
            <v>CPB RENNES RAPATEL 2</v>
          </cell>
          <cell r="AX10">
            <v>9.0000330260242425</v>
          </cell>
          <cell r="AY10">
            <v>7</v>
          </cell>
          <cell r="AZ10">
            <v>0</v>
          </cell>
          <cell r="BA10">
            <v>2</v>
          </cell>
          <cell r="BB10">
            <v>5</v>
          </cell>
          <cell r="BC10">
            <v>34</v>
          </cell>
          <cell r="BD10">
            <v>64</v>
          </cell>
          <cell r="BO10" t="str">
            <v>CPB RENNES RAPATEL 2</v>
          </cell>
          <cell r="BP10">
            <v>9.0000330260242425</v>
          </cell>
          <cell r="BQ10">
            <v>7</v>
          </cell>
          <cell r="BR10">
            <v>0</v>
          </cell>
          <cell r="BS10">
            <v>2</v>
          </cell>
          <cell r="BT10">
            <v>5</v>
          </cell>
          <cell r="BU10">
            <v>34</v>
          </cell>
          <cell r="BV10">
            <v>64</v>
          </cell>
        </row>
        <row r="11">
          <cell r="BN11" t="str">
            <v>Clt</v>
          </cell>
          <cell r="BO11" t="str">
            <v>MTT 2:  D1     C</v>
          </cell>
          <cell r="BP11" t="str">
            <v>Pts</v>
          </cell>
          <cell r="BQ11" t="str">
            <v>Joués</v>
          </cell>
          <cell r="BR11" t="str">
            <v>vic</v>
          </cell>
          <cell r="BU11" t="str">
            <v>PG</v>
          </cell>
          <cell r="BV11" t="str">
            <v>PP</v>
          </cell>
        </row>
        <row r="12">
          <cell r="Q12">
            <v>0</v>
          </cell>
          <cell r="R12">
            <v>0</v>
          </cell>
          <cell r="U12" t="str">
            <v>SENE TT 2</v>
          </cell>
          <cell r="V12">
            <v>21.000002911390887</v>
          </cell>
          <cell r="W12">
            <v>7</v>
          </cell>
          <cell r="X12">
            <v>7</v>
          </cell>
          <cell r="Y12">
            <v>0</v>
          </cell>
          <cell r="Z12">
            <v>0</v>
          </cell>
          <cell r="AA12">
            <v>78</v>
          </cell>
          <cell r="AB12">
            <v>20</v>
          </cell>
          <cell r="AS12">
            <v>5</v>
          </cell>
          <cell r="AT12">
            <v>7</v>
          </cell>
          <cell r="AW12" t="str">
            <v>MUZILLAC TT 2</v>
          </cell>
          <cell r="AX12">
            <v>19.000061026416272</v>
          </cell>
          <cell r="AY12">
            <v>7</v>
          </cell>
          <cell r="AZ12">
            <v>5</v>
          </cell>
          <cell r="BA12">
            <v>2</v>
          </cell>
          <cell r="BB12">
            <v>0</v>
          </cell>
          <cell r="BC12">
            <v>67</v>
          </cell>
          <cell r="BD12">
            <v>31</v>
          </cell>
          <cell r="BO12" t="str">
            <v>MUZILLAC TT 2</v>
          </cell>
          <cell r="BP12">
            <v>19.000061026416272</v>
          </cell>
          <cell r="BQ12">
            <v>7</v>
          </cell>
          <cell r="BR12">
            <v>5</v>
          </cell>
          <cell r="BS12">
            <v>2</v>
          </cell>
          <cell r="BT12">
            <v>0</v>
          </cell>
          <cell r="BU12">
            <v>67</v>
          </cell>
          <cell r="BV12">
            <v>31</v>
          </cell>
        </row>
        <row r="13">
          <cell r="Q13">
            <v>0</v>
          </cell>
          <cell r="R13">
            <v>0</v>
          </cell>
          <cell r="U13" t="str">
            <v>ES PLESCOP TT 5</v>
          </cell>
          <cell r="V13">
            <v>16.00007547674624</v>
          </cell>
          <cell r="W13">
            <v>7</v>
          </cell>
          <cell r="X13">
            <v>4</v>
          </cell>
          <cell r="Y13">
            <v>1</v>
          </cell>
          <cell r="Z13">
            <v>2</v>
          </cell>
          <cell r="AA13">
            <v>54</v>
          </cell>
          <cell r="AB13">
            <v>44</v>
          </cell>
          <cell r="AS13">
            <v>0</v>
          </cell>
          <cell r="AT13">
            <v>0</v>
          </cell>
          <cell r="AW13" t="str">
            <v>SENE TT 2</v>
          </cell>
          <cell r="AX13">
            <v>16.000041506174821</v>
          </cell>
          <cell r="AY13">
            <v>7</v>
          </cell>
          <cell r="AZ13">
            <v>4</v>
          </cell>
          <cell r="BA13">
            <v>1</v>
          </cell>
          <cell r="BB13">
            <v>2</v>
          </cell>
          <cell r="BC13">
            <v>51</v>
          </cell>
          <cell r="BD13">
            <v>47</v>
          </cell>
          <cell r="BO13" t="str">
            <v>SENE TT 2</v>
          </cell>
          <cell r="BP13">
            <v>16.000041506174821</v>
          </cell>
          <cell r="BQ13">
            <v>7</v>
          </cell>
          <cell r="BR13">
            <v>4</v>
          </cell>
          <cell r="BS13">
            <v>1</v>
          </cell>
          <cell r="BT13">
            <v>2</v>
          </cell>
          <cell r="BU13">
            <v>51</v>
          </cell>
          <cell r="BV13">
            <v>47</v>
          </cell>
        </row>
        <row r="14">
          <cell r="Q14">
            <v>0</v>
          </cell>
          <cell r="R14">
            <v>0</v>
          </cell>
          <cell r="U14" t="str">
            <v>BO QUESTEMBERT 1</v>
          </cell>
          <cell r="V14">
            <v>16.000072661879823</v>
          </cell>
          <cell r="W14">
            <v>7</v>
          </cell>
          <cell r="X14">
            <v>4</v>
          </cell>
          <cell r="Y14">
            <v>1</v>
          </cell>
          <cell r="Z14">
            <v>2</v>
          </cell>
          <cell r="AA14">
            <v>60</v>
          </cell>
          <cell r="AB14">
            <v>38</v>
          </cell>
          <cell r="AS14">
            <v>0</v>
          </cell>
          <cell r="AT14">
            <v>0</v>
          </cell>
          <cell r="AW14" t="str">
            <v>L. PLOERMEL 3</v>
          </cell>
          <cell r="AX14">
            <v>14.000024485938715</v>
          </cell>
          <cell r="AY14">
            <v>7</v>
          </cell>
          <cell r="AZ14">
            <v>3</v>
          </cell>
          <cell r="BA14">
            <v>1</v>
          </cell>
          <cell r="BB14">
            <v>3</v>
          </cell>
          <cell r="BC14">
            <v>51</v>
          </cell>
          <cell r="BD14">
            <v>47</v>
          </cell>
          <cell r="BO14" t="str">
            <v>L. PLOERMEL 3</v>
          </cell>
          <cell r="BP14">
            <v>14.000024485938715</v>
          </cell>
          <cell r="BQ14">
            <v>7</v>
          </cell>
          <cell r="BR14">
            <v>3</v>
          </cell>
          <cell r="BS14">
            <v>1</v>
          </cell>
          <cell r="BT14">
            <v>3</v>
          </cell>
          <cell r="BU14">
            <v>51</v>
          </cell>
          <cell r="BV14">
            <v>47</v>
          </cell>
        </row>
        <row r="15">
          <cell r="Q15">
            <v>4</v>
          </cell>
          <cell r="R15">
            <v>7</v>
          </cell>
          <cell r="U15" t="str">
            <v>MUZILLAC TT 2</v>
          </cell>
          <cell r="V15">
            <v>16.00001175230457</v>
          </cell>
          <cell r="W15">
            <v>7</v>
          </cell>
          <cell r="X15">
            <v>4</v>
          </cell>
          <cell r="Y15">
            <v>1</v>
          </cell>
          <cell r="Z15">
            <v>2</v>
          </cell>
          <cell r="AA15">
            <v>59</v>
          </cell>
          <cell r="AB15">
            <v>39</v>
          </cell>
          <cell r="AS15">
            <v>0</v>
          </cell>
          <cell r="AT15">
            <v>0</v>
          </cell>
          <cell r="AW15" t="str">
            <v>AJK VANNES 4</v>
          </cell>
          <cell r="AX15">
            <v>13.000069737162175</v>
          </cell>
          <cell r="AY15">
            <v>7</v>
          </cell>
          <cell r="AZ15">
            <v>3</v>
          </cell>
          <cell r="BA15">
            <v>0</v>
          </cell>
          <cell r="BB15">
            <v>4</v>
          </cell>
          <cell r="BC15">
            <v>49</v>
          </cell>
          <cell r="BD15">
            <v>49</v>
          </cell>
          <cell r="BO15" t="str">
            <v>AJK VANNES 4</v>
          </cell>
          <cell r="BP15">
            <v>13.000069737162175</v>
          </cell>
          <cell r="BQ15">
            <v>7</v>
          </cell>
          <cell r="BR15">
            <v>3</v>
          </cell>
          <cell r="BS15">
            <v>0</v>
          </cell>
          <cell r="BT15">
            <v>4</v>
          </cell>
          <cell r="BU15">
            <v>49</v>
          </cell>
          <cell r="BV15">
            <v>49</v>
          </cell>
        </row>
        <row r="16">
          <cell r="Q16">
            <v>0</v>
          </cell>
          <cell r="R16">
            <v>0</v>
          </cell>
          <cell r="U16" t="str">
            <v>ASPTT VANNES 4</v>
          </cell>
          <cell r="V16">
            <v>13.000065826288845</v>
          </cell>
          <cell r="W16">
            <v>7</v>
          </cell>
          <cell r="X16">
            <v>2</v>
          </cell>
          <cell r="Y16">
            <v>2</v>
          </cell>
          <cell r="Z16">
            <v>3</v>
          </cell>
          <cell r="AA16">
            <v>39</v>
          </cell>
          <cell r="AB16">
            <v>59</v>
          </cell>
          <cell r="AS16">
            <v>0</v>
          </cell>
          <cell r="AT16">
            <v>0</v>
          </cell>
          <cell r="AW16" t="str">
            <v>US ST-ABRAHAM 1</v>
          </cell>
          <cell r="AX16">
            <v>13.000042356690571</v>
          </cell>
          <cell r="AY16">
            <v>7</v>
          </cell>
          <cell r="AZ16">
            <v>2</v>
          </cell>
          <cell r="BA16">
            <v>2</v>
          </cell>
          <cell r="BB16">
            <v>3</v>
          </cell>
          <cell r="BC16">
            <v>43</v>
          </cell>
          <cell r="BD16">
            <v>55</v>
          </cell>
          <cell r="BO16" t="str">
            <v>US ST-ABRAHAM 1</v>
          </cell>
          <cell r="BP16">
            <v>13.000042356690571</v>
          </cell>
          <cell r="BQ16">
            <v>7</v>
          </cell>
          <cell r="BR16">
            <v>2</v>
          </cell>
          <cell r="BS16">
            <v>2</v>
          </cell>
          <cell r="BT16">
            <v>3</v>
          </cell>
          <cell r="BU16">
            <v>43</v>
          </cell>
          <cell r="BV16">
            <v>55</v>
          </cell>
        </row>
        <row r="17">
          <cell r="Q17">
            <v>0</v>
          </cell>
          <cell r="R17">
            <v>0</v>
          </cell>
          <cell r="U17" t="str">
            <v>CTT MENIMUR 3</v>
          </cell>
          <cell r="V17">
            <v>12.000027599964394</v>
          </cell>
          <cell r="W17">
            <v>7</v>
          </cell>
          <cell r="X17">
            <v>2</v>
          </cell>
          <cell r="Y17">
            <v>1</v>
          </cell>
          <cell r="Z17">
            <v>4</v>
          </cell>
          <cell r="AA17">
            <v>45</v>
          </cell>
          <cell r="AB17">
            <v>53</v>
          </cell>
          <cell r="AS17">
            <v>0</v>
          </cell>
          <cell r="AT17">
            <v>0</v>
          </cell>
          <cell r="AW17" t="str">
            <v>CTT MENIMUR 2</v>
          </cell>
          <cell r="AX17">
            <v>13.000019036879552</v>
          </cell>
          <cell r="AY17">
            <v>7</v>
          </cell>
          <cell r="AZ17">
            <v>2</v>
          </cell>
          <cell r="BA17">
            <v>2</v>
          </cell>
          <cell r="BB17">
            <v>3</v>
          </cell>
          <cell r="BC17">
            <v>47</v>
          </cell>
          <cell r="BD17">
            <v>51</v>
          </cell>
          <cell r="BO17" t="str">
            <v>CTT MENIMUR 2</v>
          </cell>
          <cell r="BP17">
            <v>13.000019036879552</v>
          </cell>
          <cell r="BQ17">
            <v>7</v>
          </cell>
          <cell r="BR17">
            <v>2</v>
          </cell>
          <cell r="BS17">
            <v>2</v>
          </cell>
          <cell r="BT17">
            <v>3</v>
          </cell>
          <cell r="BU17">
            <v>47</v>
          </cell>
          <cell r="BV17">
            <v>51</v>
          </cell>
        </row>
        <row r="18">
          <cell r="Q18">
            <v>0</v>
          </cell>
          <cell r="R18">
            <v>0</v>
          </cell>
          <cell r="U18" t="str">
            <v>MUZILLAC TT 4</v>
          </cell>
          <cell r="V18">
            <v>10.000064280016478</v>
          </cell>
          <cell r="W18">
            <v>7</v>
          </cell>
          <cell r="X18">
            <v>1</v>
          </cell>
          <cell r="Y18">
            <v>1</v>
          </cell>
          <cell r="Z18">
            <v>5</v>
          </cell>
          <cell r="AA18">
            <v>31</v>
          </cell>
          <cell r="AB18">
            <v>67</v>
          </cell>
          <cell r="AS18">
            <v>0</v>
          </cell>
          <cell r="AT18">
            <v>0</v>
          </cell>
          <cell r="AW18" t="str">
            <v>PLUNERET/MERIAD 1</v>
          </cell>
          <cell r="AX18">
            <v>12.000071703128762</v>
          </cell>
          <cell r="AY18">
            <v>7</v>
          </cell>
          <cell r="AZ18">
            <v>2</v>
          </cell>
          <cell r="BA18">
            <v>1</v>
          </cell>
          <cell r="BB18">
            <v>4</v>
          </cell>
          <cell r="BC18">
            <v>40</v>
          </cell>
          <cell r="BD18">
            <v>58</v>
          </cell>
          <cell r="BO18" t="str">
            <v>PLUNERET/MERIAD 1</v>
          </cell>
          <cell r="BP18">
            <v>12.000071703128762</v>
          </cell>
          <cell r="BQ18">
            <v>7</v>
          </cell>
          <cell r="BR18">
            <v>2</v>
          </cell>
          <cell r="BS18">
            <v>1</v>
          </cell>
          <cell r="BT18">
            <v>4</v>
          </cell>
          <cell r="BU18">
            <v>40</v>
          </cell>
          <cell r="BV18">
            <v>58</v>
          </cell>
        </row>
        <row r="19">
          <cell r="Q19">
            <v>0</v>
          </cell>
          <cell r="R19">
            <v>0</v>
          </cell>
          <cell r="U19" t="str">
            <v>TT RHUYS 1</v>
          </cell>
          <cell r="V19">
            <v>8.0000637010051765</v>
          </cell>
          <cell r="W19">
            <v>7</v>
          </cell>
          <cell r="X19">
            <v>0</v>
          </cell>
          <cell r="Y19">
            <v>1</v>
          </cell>
          <cell r="Z19">
            <v>6</v>
          </cell>
          <cell r="AA19">
            <v>26</v>
          </cell>
          <cell r="AB19">
            <v>72</v>
          </cell>
          <cell r="AS19">
            <v>0</v>
          </cell>
          <cell r="AT19">
            <v>0</v>
          </cell>
          <cell r="AW19" t="str">
            <v>ASPTT VANNES 3</v>
          </cell>
          <cell r="AX19">
            <v>12.000060421006379</v>
          </cell>
          <cell r="AY19">
            <v>7</v>
          </cell>
          <cell r="AZ19">
            <v>2</v>
          </cell>
          <cell r="BA19">
            <v>1</v>
          </cell>
          <cell r="BB19">
            <v>4</v>
          </cell>
          <cell r="BC19">
            <v>44</v>
          </cell>
          <cell r="BD19">
            <v>54</v>
          </cell>
          <cell r="BO19" t="str">
            <v>ASPTT VANNES 3</v>
          </cell>
          <cell r="BP19">
            <v>12.000060421006379</v>
          </cell>
          <cell r="BQ19">
            <v>7</v>
          </cell>
          <cell r="BR19">
            <v>2</v>
          </cell>
          <cell r="BS19">
            <v>1</v>
          </cell>
          <cell r="BT19">
            <v>4</v>
          </cell>
          <cell r="BU19">
            <v>44</v>
          </cell>
          <cell r="BV19">
            <v>54</v>
          </cell>
        </row>
        <row r="20">
          <cell r="Y20" t="str">
            <v>nul</v>
          </cell>
          <cell r="Z20" t="str">
            <v>déf</v>
          </cell>
          <cell r="BN20" t="str">
            <v>Clt</v>
          </cell>
          <cell r="BO20" t="str">
            <v>MTT 3:  D2     E</v>
          </cell>
          <cell r="BP20" t="str">
            <v>Pts</v>
          </cell>
          <cell r="BQ20" t="str">
            <v>Joués</v>
          </cell>
          <cell r="BR20" t="str">
            <v>vic</v>
          </cell>
          <cell r="BS20" t="str">
            <v>nul</v>
          </cell>
          <cell r="BT20" t="str">
            <v>déf</v>
          </cell>
          <cell r="BU20" t="str">
            <v>PG</v>
          </cell>
          <cell r="BV20" t="str">
            <v>PP</v>
          </cell>
        </row>
        <row r="21">
          <cell r="Q21">
            <v>7</v>
          </cell>
          <cell r="R21">
            <v>7</v>
          </cell>
          <cell r="U21" t="str">
            <v>MUZILLAC TT 3</v>
          </cell>
          <cell r="V21">
            <v>21.000099294166063</v>
          </cell>
          <cell r="W21">
            <v>7</v>
          </cell>
          <cell r="X21">
            <v>7</v>
          </cell>
          <cell r="Y21">
            <v>0</v>
          </cell>
          <cell r="Z21">
            <v>0</v>
          </cell>
          <cell r="AA21">
            <v>77</v>
          </cell>
          <cell r="AB21">
            <v>21</v>
          </cell>
          <cell r="AS21">
            <v>0</v>
          </cell>
          <cell r="AT21">
            <v>0</v>
          </cell>
          <cell r="AW21" t="str">
            <v>BO QUESTEMBERT 1</v>
          </cell>
          <cell r="AX21">
            <v>21.00003237112195</v>
          </cell>
          <cell r="AY21">
            <v>7</v>
          </cell>
          <cell r="AZ21">
            <v>7</v>
          </cell>
          <cell r="BA21">
            <v>0</v>
          </cell>
          <cell r="BB21">
            <v>0</v>
          </cell>
          <cell r="BC21">
            <v>79</v>
          </cell>
          <cell r="BD21">
            <v>19</v>
          </cell>
          <cell r="BO21" t="str">
            <v>BO QUESTEMBERT 1</v>
          </cell>
          <cell r="BP21">
            <v>21.00003237112195</v>
          </cell>
          <cell r="BQ21">
            <v>7</v>
          </cell>
          <cell r="BR21">
            <v>7</v>
          </cell>
          <cell r="BS21">
            <v>0</v>
          </cell>
          <cell r="BT21">
            <v>0</v>
          </cell>
          <cell r="BU21">
            <v>79</v>
          </cell>
          <cell r="BV21">
            <v>19</v>
          </cell>
        </row>
        <row r="22">
          <cell r="Q22">
            <v>0</v>
          </cell>
          <cell r="R22">
            <v>0</v>
          </cell>
          <cell r="U22" t="str">
            <v>US ST-ABRAHAM 2</v>
          </cell>
          <cell r="V22">
            <v>14.00002361723036</v>
          </cell>
          <cell r="W22">
            <v>7</v>
          </cell>
          <cell r="X22">
            <v>3</v>
          </cell>
          <cell r="Y22">
            <v>1</v>
          </cell>
          <cell r="Z22">
            <v>3</v>
          </cell>
          <cell r="AA22">
            <v>52</v>
          </cell>
          <cell r="AB22">
            <v>46</v>
          </cell>
          <cell r="AS22">
            <v>0</v>
          </cell>
          <cell r="AT22">
            <v>0</v>
          </cell>
          <cell r="AW22" t="str">
            <v>TT PAYS LOCMINE 1</v>
          </cell>
          <cell r="AX22">
            <v>18.000065935395277</v>
          </cell>
          <cell r="AY22">
            <v>7</v>
          </cell>
          <cell r="AZ22">
            <v>5</v>
          </cell>
          <cell r="BA22">
            <v>1</v>
          </cell>
          <cell r="BB22">
            <v>1</v>
          </cell>
          <cell r="BC22">
            <v>65</v>
          </cell>
          <cell r="BD22">
            <v>33</v>
          </cell>
          <cell r="BO22" t="str">
            <v>TT PAYS LOCMINE 1</v>
          </cell>
          <cell r="BP22">
            <v>18.000065935395277</v>
          </cell>
          <cell r="BQ22">
            <v>7</v>
          </cell>
          <cell r="BR22">
            <v>5</v>
          </cell>
          <cell r="BS22">
            <v>1</v>
          </cell>
          <cell r="BT22">
            <v>1</v>
          </cell>
          <cell r="BU22">
            <v>65</v>
          </cell>
          <cell r="BV22">
            <v>33</v>
          </cell>
        </row>
        <row r="23">
          <cell r="Q23">
            <v>0</v>
          </cell>
          <cell r="R23">
            <v>0</v>
          </cell>
          <cell r="U23" t="str">
            <v>ARGOET STT 1</v>
          </cell>
          <cell r="V23">
            <v>13.000093259514177</v>
          </cell>
          <cell r="W23">
            <v>7</v>
          </cell>
          <cell r="X23">
            <v>2</v>
          </cell>
          <cell r="Y23">
            <v>2</v>
          </cell>
          <cell r="Z23">
            <v>3</v>
          </cell>
          <cell r="AA23">
            <v>41</v>
          </cell>
          <cell r="AB23">
            <v>57</v>
          </cell>
          <cell r="AS23">
            <v>0</v>
          </cell>
          <cell r="AT23">
            <v>0</v>
          </cell>
          <cell r="AW23" t="str">
            <v>CTT MENIMUR 3</v>
          </cell>
          <cell r="AX23">
            <v>15.000070890891182</v>
          </cell>
          <cell r="AY23">
            <v>7</v>
          </cell>
          <cell r="AZ23">
            <v>4</v>
          </cell>
          <cell r="BA23">
            <v>0</v>
          </cell>
          <cell r="BB23">
            <v>3</v>
          </cell>
          <cell r="BC23">
            <v>52</v>
          </cell>
          <cell r="BD23">
            <v>46</v>
          </cell>
          <cell r="BO23" t="str">
            <v>CTT MENIMUR 3</v>
          </cell>
          <cell r="BP23">
            <v>15.000070890891182</v>
          </cell>
          <cell r="BQ23">
            <v>7</v>
          </cell>
          <cell r="BR23">
            <v>4</v>
          </cell>
          <cell r="BS23">
            <v>0</v>
          </cell>
          <cell r="BT23">
            <v>3</v>
          </cell>
          <cell r="BU23">
            <v>52</v>
          </cell>
          <cell r="BV23">
            <v>46</v>
          </cell>
        </row>
        <row r="24">
          <cell r="Q24">
            <v>0</v>
          </cell>
          <cell r="R24">
            <v>0</v>
          </cell>
          <cell r="U24" t="str">
            <v>BO QUESTEMBERT 2</v>
          </cell>
          <cell r="V24">
            <v>13.000079080422591</v>
          </cell>
          <cell r="W24">
            <v>7</v>
          </cell>
          <cell r="X24">
            <v>3</v>
          </cell>
          <cell r="Y24">
            <v>0</v>
          </cell>
          <cell r="Z24">
            <v>4</v>
          </cell>
          <cell r="AA24">
            <v>38</v>
          </cell>
          <cell r="AB24">
            <v>60</v>
          </cell>
          <cell r="AS24">
            <v>4</v>
          </cell>
          <cell r="AT24">
            <v>7</v>
          </cell>
          <cell r="AW24" t="str">
            <v>MUZILLAC TT 3</v>
          </cell>
          <cell r="AX24">
            <v>15.000007842125443</v>
          </cell>
          <cell r="AY24">
            <v>7</v>
          </cell>
          <cell r="AZ24">
            <v>4</v>
          </cell>
          <cell r="BA24">
            <v>0</v>
          </cell>
          <cell r="BB24">
            <v>3</v>
          </cell>
          <cell r="BC24">
            <v>54</v>
          </cell>
          <cell r="BD24">
            <v>44</v>
          </cell>
          <cell r="BO24" t="str">
            <v>MUZILLAC TT 3</v>
          </cell>
          <cell r="BP24">
            <v>15.000007842125443</v>
          </cell>
          <cell r="BQ24">
            <v>7</v>
          </cell>
          <cell r="BR24">
            <v>4</v>
          </cell>
          <cell r="BS24">
            <v>0</v>
          </cell>
          <cell r="BT24">
            <v>3</v>
          </cell>
          <cell r="BU24">
            <v>54</v>
          </cell>
          <cell r="BV24">
            <v>44</v>
          </cell>
        </row>
        <row r="25">
          <cell r="Q25">
            <v>0</v>
          </cell>
          <cell r="R25">
            <v>0</v>
          </cell>
          <cell r="U25" t="str">
            <v>TT PAYS LOCMINE 1</v>
          </cell>
          <cell r="V25">
            <v>13.00004631263648</v>
          </cell>
          <cell r="W25">
            <v>7</v>
          </cell>
          <cell r="X25">
            <v>3</v>
          </cell>
          <cell r="Y25">
            <v>0</v>
          </cell>
          <cell r="Z25">
            <v>4</v>
          </cell>
          <cell r="AA25">
            <v>49</v>
          </cell>
          <cell r="AB25">
            <v>49</v>
          </cell>
          <cell r="AS25">
            <v>0</v>
          </cell>
          <cell r="AT25">
            <v>0</v>
          </cell>
          <cell r="AW25" t="str">
            <v>FC ST-RAOUL 1</v>
          </cell>
          <cell r="AX25">
            <v>13.000091142473766</v>
          </cell>
          <cell r="AY25">
            <v>7</v>
          </cell>
          <cell r="AZ25">
            <v>3</v>
          </cell>
          <cell r="BA25">
            <v>0</v>
          </cell>
          <cell r="BB25">
            <v>4</v>
          </cell>
          <cell r="BC25">
            <v>47</v>
          </cell>
          <cell r="BD25">
            <v>51</v>
          </cell>
          <cell r="BO25" t="str">
            <v>FC ST-RAOUL 1</v>
          </cell>
          <cell r="BP25">
            <v>13.000091142473766</v>
          </cell>
          <cell r="BQ25">
            <v>7</v>
          </cell>
          <cell r="BR25">
            <v>3</v>
          </cell>
          <cell r="BS25">
            <v>0</v>
          </cell>
          <cell r="BT25">
            <v>4</v>
          </cell>
          <cell r="BU25">
            <v>47</v>
          </cell>
          <cell r="BV25">
            <v>51</v>
          </cell>
        </row>
        <row r="26">
          <cell r="Q26">
            <v>0</v>
          </cell>
          <cell r="R26">
            <v>0</v>
          </cell>
          <cell r="U26" t="str">
            <v>AO ST-NOLFF 1</v>
          </cell>
          <cell r="V26">
            <v>13.000030160745663</v>
          </cell>
          <cell r="W26">
            <v>7</v>
          </cell>
          <cell r="X26">
            <v>2</v>
          </cell>
          <cell r="Y26">
            <v>2</v>
          </cell>
          <cell r="Z26">
            <v>3</v>
          </cell>
          <cell r="AA26">
            <v>44</v>
          </cell>
          <cell r="AB26">
            <v>54</v>
          </cell>
          <cell r="AS26">
            <v>0</v>
          </cell>
          <cell r="AT26">
            <v>0</v>
          </cell>
          <cell r="AW26" t="str">
            <v>JA PLEUCADEUC 1</v>
          </cell>
          <cell r="AX26">
            <v>13.000072455365814</v>
          </cell>
          <cell r="AY26">
            <v>7</v>
          </cell>
          <cell r="AZ26">
            <v>3</v>
          </cell>
          <cell r="BA26">
            <v>0</v>
          </cell>
          <cell r="BB26">
            <v>4</v>
          </cell>
          <cell r="BC26">
            <v>38</v>
          </cell>
          <cell r="BD26">
            <v>60</v>
          </cell>
          <cell r="BO26" t="str">
            <v>JA PLEUCADEUC 1</v>
          </cell>
          <cell r="BP26">
            <v>13.000072455365814</v>
          </cell>
          <cell r="BQ26">
            <v>7</v>
          </cell>
          <cell r="BR26">
            <v>3</v>
          </cell>
          <cell r="BS26">
            <v>0</v>
          </cell>
          <cell r="BT26">
            <v>4</v>
          </cell>
          <cell r="BU26">
            <v>38</v>
          </cell>
          <cell r="BV26">
            <v>60</v>
          </cell>
        </row>
        <row r="27">
          <cell r="Q27">
            <v>0</v>
          </cell>
          <cell r="R27">
            <v>0</v>
          </cell>
          <cell r="U27" t="str">
            <v>L. PLOERMEL 4</v>
          </cell>
          <cell r="V27">
            <v>13.00000711701618</v>
          </cell>
          <cell r="W27">
            <v>7</v>
          </cell>
          <cell r="X27">
            <v>3</v>
          </cell>
          <cell r="Y27">
            <v>0</v>
          </cell>
          <cell r="Z27">
            <v>4</v>
          </cell>
          <cell r="AA27">
            <v>55</v>
          </cell>
          <cell r="AB27">
            <v>43</v>
          </cell>
          <cell r="AS27">
            <v>0</v>
          </cell>
          <cell r="AT27">
            <v>0</v>
          </cell>
          <cell r="AW27" t="str">
            <v>ARGOET STT 1</v>
          </cell>
          <cell r="AX27">
            <v>10.000038630929819</v>
          </cell>
          <cell r="AY27">
            <v>7</v>
          </cell>
          <cell r="AZ27">
            <v>1</v>
          </cell>
          <cell r="BA27">
            <v>1</v>
          </cell>
          <cell r="BB27">
            <v>5</v>
          </cell>
          <cell r="BC27">
            <v>40</v>
          </cell>
          <cell r="BD27">
            <v>58</v>
          </cell>
          <cell r="BO27" t="str">
            <v>ARGOET STT 1</v>
          </cell>
          <cell r="BP27">
            <v>10.000038630929819</v>
          </cell>
          <cell r="BQ27">
            <v>7</v>
          </cell>
          <cell r="BR27">
            <v>1</v>
          </cell>
          <cell r="BS27">
            <v>1</v>
          </cell>
          <cell r="BT27">
            <v>5</v>
          </cell>
          <cell r="BU27">
            <v>40</v>
          </cell>
          <cell r="BV27">
            <v>58</v>
          </cell>
        </row>
        <row r="28">
          <cell r="Q28">
            <v>0</v>
          </cell>
          <cell r="R28">
            <v>0</v>
          </cell>
          <cell r="U28" t="str">
            <v>CTT MENIMUR 4</v>
          </cell>
          <cell r="V28">
            <v>12.000073876235943</v>
          </cell>
          <cell r="W28">
            <v>7</v>
          </cell>
          <cell r="X28">
            <v>2</v>
          </cell>
          <cell r="Y28">
            <v>1</v>
          </cell>
          <cell r="Z28">
            <v>4</v>
          </cell>
          <cell r="AA28">
            <v>36</v>
          </cell>
          <cell r="AB28">
            <v>62</v>
          </cell>
          <cell r="AS28">
            <v>0</v>
          </cell>
          <cell r="AT28">
            <v>0</v>
          </cell>
          <cell r="AW28" t="str">
            <v>ASPTT VANNES 6</v>
          </cell>
          <cell r="AX28">
            <v>7.0000044224188889</v>
          </cell>
          <cell r="AY28">
            <v>7</v>
          </cell>
          <cell r="AZ28">
            <v>0</v>
          </cell>
          <cell r="BA28">
            <v>0</v>
          </cell>
          <cell r="BB28">
            <v>7</v>
          </cell>
          <cell r="BC28">
            <v>17</v>
          </cell>
          <cell r="BD28">
            <v>81</v>
          </cell>
          <cell r="BO28" t="str">
            <v>ASPTT VANNES 6</v>
          </cell>
          <cell r="BP28">
            <v>7.0000044224188889</v>
          </cell>
          <cell r="BQ28">
            <v>7</v>
          </cell>
          <cell r="BR28">
            <v>0</v>
          </cell>
          <cell r="BS28">
            <v>0</v>
          </cell>
          <cell r="BT28">
            <v>7</v>
          </cell>
          <cell r="BU28">
            <v>17</v>
          </cell>
          <cell r="BV28">
            <v>81</v>
          </cell>
        </row>
        <row r="29">
          <cell r="BN29" t="str">
            <v>Clt</v>
          </cell>
          <cell r="BO29" t="str">
            <v>MTT 4:  D2     D</v>
          </cell>
          <cell r="BP29" t="str">
            <v>Pts</v>
          </cell>
          <cell r="BQ29" t="str">
            <v>Joués</v>
          </cell>
          <cell r="BR29" t="str">
            <v>vic</v>
          </cell>
          <cell r="BS29" t="str">
            <v>nul</v>
          </cell>
          <cell r="BT29" t="str">
            <v>déf</v>
          </cell>
          <cell r="BU29" t="str">
            <v>PG</v>
          </cell>
          <cell r="BV29" t="str">
            <v>PP</v>
          </cell>
        </row>
        <row r="30">
          <cell r="Q30">
            <v>0</v>
          </cell>
          <cell r="R30">
            <v>0</v>
          </cell>
          <cell r="U30" t="str">
            <v>SENE TT 2</v>
          </cell>
          <cell r="V30">
            <v>21.000047375316527</v>
          </cell>
          <cell r="W30">
            <v>7</v>
          </cell>
          <cell r="X30">
            <v>7</v>
          </cell>
          <cell r="Y30">
            <v>0</v>
          </cell>
          <cell r="Z30">
            <v>0</v>
          </cell>
          <cell r="AA30">
            <v>78</v>
          </cell>
          <cell r="AB30">
            <v>20</v>
          </cell>
          <cell r="AS30">
            <v>0</v>
          </cell>
          <cell r="AT30">
            <v>0</v>
          </cell>
          <cell r="AW30" t="str">
            <v>US ST-ABRAHAM 2</v>
          </cell>
          <cell r="AX30">
            <v>17.000016398985451</v>
          </cell>
          <cell r="AY30">
            <v>7</v>
          </cell>
          <cell r="AZ30">
            <v>5</v>
          </cell>
          <cell r="BA30">
            <v>0</v>
          </cell>
          <cell r="BB30">
            <v>2</v>
          </cell>
          <cell r="BC30">
            <v>54</v>
          </cell>
          <cell r="BD30">
            <v>44</v>
          </cell>
          <cell r="BO30" t="str">
            <v>US ST-ABRAHAM 2</v>
          </cell>
          <cell r="BP30">
            <v>17.000016398985451</v>
          </cell>
          <cell r="BQ30">
            <v>7</v>
          </cell>
          <cell r="BR30">
            <v>5</v>
          </cell>
          <cell r="BS30">
            <v>0</v>
          </cell>
          <cell r="BT30">
            <v>2</v>
          </cell>
          <cell r="BU30">
            <v>54</v>
          </cell>
          <cell r="BV30">
            <v>44</v>
          </cell>
        </row>
        <row r="31">
          <cell r="Q31">
            <v>0</v>
          </cell>
          <cell r="R31">
            <v>0</v>
          </cell>
          <cell r="U31" t="str">
            <v>BO QUESTEMBERT 1</v>
          </cell>
          <cell r="V31">
            <v>16.000094261491753</v>
          </cell>
          <cell r="W31">
            <v>7</v>
          </cell>
          <cell r="X31">
            <v>4</v>
          </cell>
          <cell r="Y31">
            <v>1</v>
          </cell>
          <cell r="Z31">
            <v>2</v>
          </cell>
          <cell r="AA31">
            <v>60</v>
          </cell>
          <cell r="AB31">
            <v>38</v>
          </cell>
          <cell r="AS31">
            <v>0</v>
          </cell>
          <cell r="AT31">
            <v>0</v>
          </cell>
          <cell r="AW31" t="str">
            <v>L. PLOERMEL 4</v>
          </cell>
          <cell r="AX31">
            <v>15.000058236396544</v>
          </cell>
          <cell r="AY31">
            <v>7</v>
          </cell>
          <cell r="AZ31">
            <v>4</v>
          </cell>
          <cell r="BA31">
            <v>0</v>
          </cell>
          <cell r="BB31">
            <v>3</v>
          </cell>
          <cell r="BC31">
            <v>53</v>
          </cell>
          <cell r="BD31">
            <v>45</v>
          </cell>
          <cell r="BO31" t="str">
            <v>L. PLOERMEL 4</v>
          </cell>
          <cell r="BP31">
            <v>15.000058236396544</v>
          </cell>
          <cell r="BQ31">
            <v>7</v>
          </cell>
          <cell r="BR31">
            <v>4</v>
          </cell>
          <cell r="BS31">
            <v>0</v>
          </cell>
          <cell r="BT31">
            <v>3</v>
          </cell>
          <cell r="BU31">
            <v>53</v>
          </cell>
          <cell r="BV31">
            <v>45</v>
          </cell>
        </row>
        <row r="32">
          <cell r="Q32">
            <v>0</v>
          </cell>
          <cell r="R32">
            <v>0</v>
          </cell>
          <cell r="U32" t="str">
            <v>MUZILLAC TT 2</v>
          </cell>
          <cell r="V32">
            <v>16.00008796628466</v>
          </cell>
          <cell r="W32">
            <v>7</v>
          </cell>
          <cell r="X32">
            <v>4</v>
          </cell>
          <cell r="Y32">
            <v>1</v>
          </cell>
          <cell r="Z32">
            <v>2</v>
          </cell>
          <cell r="AA32">
            <v>59</v>
          </cell>
          <cell r="AB32">
            <v>39</v>
          </cell>
          <cell r="AS32">
            <v>0</v>
          </cell>
          <cell r="AT32">
            <v>0</v>
          </cell>
          <cell r="AW32" t="str">
            <v>ES PLESCOP TT 5</v>
          </cell>
          <cell r="AX32">
            <v>15.000027749451164</v>
          </cell>
          <cell r="AY32">
            <v>7</v>
          </cell>
          <cell r="AZ32">
            <v>4</v>
          </cell>
          <cell r="BA32">
            <v>0</v>
          </cell>
          <cell r="BB32">
            <v>3</v>
          </cell>
          <cell r="BC32">
            <v>52</v>
          </cell>
          <cell r="BD32">
            <v>46</v>
          </cell>
          <cell r="BO32" t="str">
            <v>ES PLESCOP TT 5</v>
          </cell>
          <cell r="BP32">
            <v>15.000027749451164</v>
          </cell>
          <cell r="BQ32">
            <v>7</v>
          </cell>
          <cell r="BR32">
            <v>4</v>
          </cell>
          <cell r="BS32">
            <v>0</v>
          </cell>
          <cell r="BT32">
            <v>3</v>
          </cell>
          <cell r="BU32">
            <v>52</v>
          </cell>
          <cell r="BV32">
            <v>46</v>
          </cell>
        </row>
        <row r="33">
          <cell r="Q33">
            <v>0</v>
          </cell>
          <cell r="R33">
            <v>0</v>
          </cell>
          <cell r="U33" t="str">
            <v>ES PLESCOP TT 5</v>
          </cell>
          <cell r="V33">
            <v>16.000047607398194</v>
          </cell>
          <cell r="W33">
            <v>7</v>
          </cell>
          <cell r="X33">
            <v>4</v>
          </cell>
          <cell r="Y33">
            <v>1</v>
          </cell>
          <cell r="Z33">
            <v>2</v>
          </cell>
          <cell r="AA33">
            <v>54</v>
          </cell>
          <cell r="AB33">
            <v>44</v>
          </cell>
          <cell r="AS33">
            <v>0</v>
          </cell>
          <cell r="AT33">
            <v>0</v>
          </cell>
          <cell r="AW33" t="str">
            <v>BO QUESTEMBERT 2</v>
          </cell>
          <cell r="AX33">
            <v>15.000002994249906</v>
          </cell>
          <cell r="AY33">
            <v>7</v>
          </cell>
          <cell r="AZ33">
            <v>4</v>
          </cell>
          <cell r="BA33">
            <v>0</v>
          </cell>
          <cell r="BB33">
            <v>3</v>
          </cell>
          <cell r="BC33">
            <v>53</v>
          </cell>
          <cell r="BD33">
            <v>45</v>
          </cell>
          <cell r="BO33" t="str">
            <v>BO QUESTEMBERT 2</v>
          </cell>
          <cell r="BP33">
            <v>15.000002994249906</v>
          </cell>
          <cell r="BQ33">
            <v>7</v>
          </cell>
          <cell r="BR33">
            <v>4</v>
          </cell>
          <cell r="BS33">
            <v>0</v>
          </cell>
          <cell r="BT33">
            <v>3</v>
          </cell>
          <cell r="BU33">
            <v>53</v>
          </cell>
          <cell r="BV33">
            <v>45</v>
          </cell>
        </row>
        <row r="34">
          <cell r="Q34">
            <v>0</v>
          </cell>
          <cell r="R34">
            <v>0</v>
          </cell>
          <cell r="U34" t="str">
            <v>ASPTT VANNES 4</v>
          </cell>
          <cell r="V34">
            <v>13.000081649462262</v>
          </cell>
          <cell r="W34">
            <v>7</v>
          </cell>
          <cell r="X34">
            <v>2</v>
          </cell>
          <cell r="Y34">
            <v>2</v>
          </cell>
          <cell r="Z34">
            <v>3</v>
          </cell>
          <cell r="AA34">
            <v>39</v>
          </cell>
          <cell r="AB34">
            <v>59</v>
          </cell>
          <cell r="AS34">
            <v>0</v>
          </cell>
          <cell r="AT34">
            <v>0</v>
          </cell>
          <cell r="AW34" t="str">
            <v>ASPTT VANNES 4</v>
          </cell>
          <cell r="AX34">
            <v>14.000007449119323</v>
          </cell>
          <cell r="AY34">
            <v>7</v>
          </cell>
          <cell r="AZ34">
            <v>3</v>
          </cell>
          <cell r="BA34">
            <v>1</v>
          </cell>
          <cell r="BB34">
            <v>3</v>
          </cell>
          <cell r="BC34">
            <v>49</v>
          </cell>
          <cell r="BD34">
            <v>49</v>
          </cell>
          <cell r="BO34" t="str">
            <v>ASPTT VANNES 4</v>
          </cell>
          <cell r="BP34">
            <v>14.000007449119323</v>
          </cell>
          <cell r="BQ34">
            <v>7</v>
          </cell>
          <cell r="BR34">
            <v>3</v>
          </cell>
          <cell r="BS34">
            <v>1</v>
          </cell>
          <cell r="BT34">
            <v>3</v>
          </cell>
          <cell r="BU34">
            <v>49</v>
          </cell>
          <cell r="BV34">
            <v>49</v>
          </cell>
        </row>
        <row r="35">
          <cell r="Q35">
            <v>0</v>
          </cell>
          <cell r="R35">
            <v>0</v>
          </cell>
          <cell r="U35" t="str">
            <v>CTT MENIMUR 3</v>
          </cell>
          <cell r="V35">
            <v>12.000017939975001</v>
          </cell>
          <cell r="W35">
            <v>7</v>
          </cell>
          <cell r="X35">
            <v>2</v>
          </cell>
          <cell r="Y35">
            <v>1</v>
          </cell>
          <cell r="Z35">
            <v>4</v>
          </cell>
          <cell r="AA35">
            <v>45</v>
          </cell>
          <cell r="AB35">
            <v>53</v>
          </cell>
          <cell r="AS35">
            <v>0</v>
          </cell>
          <cell r="AT35">
            <v>0</v>
          </cell>
          <cell r="AW35" t="str">
            <v>AO ST-NOLFF 1</v>
          </cell>
          <cell r="AX35">
            <v>13.000034602274029</v>
          </cell>
          <cell r="AY35">
            <v>7</v>
          </cell>
          <cell r="AZ35">
            <v>3</v>
          </cell>
          <cell r="BA35">
            <v>0</v>
          </cell>
          <cell r="BB35">
            <v>4</v>
          </cell>
          <cell r="BC35">
            <v>45</v>
          </cell>
          <cell r="BD35">
            <v>53</v>
          </cell>
          <cell r="BO35" t="str">
            <v>AO ST-NOLFF 1</v>
          </cell>
          <cell r="BP35">
            <v>13.000034602274029</v>
          </cell>
          <cell r="BQ35">
            <v>7</v>
          </cell>
          <cell r="BR35">
            <v>3</v>
          </cell>
          <cell r="BS35">
            <v>0</v>
          </cell>
          <cell r="BT35">
            <v>4</v>
          </cell>
          <cell r="BU35">
            <v>45</v>
          </cell>
          <cell r="BV35">
            <v>53</v>
          </cell>
        </row>
        <row r="36">
          <cell r="Q36">
            <v>1</v>
          </cell>
          <cell r="R36">
            <v>7</v>
          </cell>
          <cell r="U36" t="str">
            <v>MUZILLAC TT 4</v>
          </cell>
          <cell r="V36">
            <v>10.00009914125765</v>
          </cell>
          <cell r="W36">
            <v>7</v>
          </cell>
          <cell r="X36">
            <v>1</v>
          </cell>
          <cell r="Y36">
            <v>1</v>
          </cell>
          <cell r="Z36">
            <v>5</v>
          </cell>
          <cell r="AA36">
            <v>31</v>
          </cell>
          <cell r="AB36">
            <v>67</v>
          </cell>
          <cell r="AS36">
            <v>2</v>
          </cell>
          <cell r="AT36">
            <v>7</v>
          </cell>
          <cell r="AW36" t="str">
            <v>MUZILLAC TT 4</v>
          </cell>
          <cell r="AX36">
            <v>12.000071735061708</v>
          </cell>
          <cell r="AY36">
            <v>7</v>
          </cell>
          <cell r="AZ36">
            <v>2</v>
          </cell>
          <cell r="BA36">
            <v>1</v>
          </cell>
          <cell r="BB36">
            <v>4</v>
          </cell>
          <cell r="BC36">
            <v>51</v>
          </cell>
          <cell r="BD36">
            <v>47</v>
          </cell>
          <cell r="BO36" t="str">
            <v>MUZILLAC TT 4</v>
          </cell>
          <cell r="BP36">
            <v>12.000071735061708</v>
          </cell>
          <cell r="BQ36">
            <v>7</v>
          </cell>
          <cell r="BR36">
            <v>2</v>
          </cell>
          <cell r="BS36">
            <v>1</v>
          </cell>
          <cell r="BT36">
            <v>4</v>
          </cell>
          <cell r="BU36">
            <v>51</v>
          </cell>
          <cell r="BV36">
            <v>47</v>
          </cell>
        </row>
        <row r="37">
          <cell r="Q37">
            <v>0</v>
          </cell>
          <cell r="R37">
            <v>0</v>
          </cell>
          <cell r="U37" t="str">
            <v>TT RHUYS 1</v>
          </cell>
          <cell r="V37">
            <v>8.0000435857546268</v>
          </cell>
          <cell r="W37">
            <v>7</v>
          </cell>
          <cell r="X37">
            <v>0</v>
          </cell>
          <cell r="Y37">
            <v>1</v>
          </cell>
          <cell r="Z37">
            <v>6</v>
          </cell>
          <cell r="AA37">
            <v>27</v>
          </cell>
          <cell r="AB37">
            <v>71</v>
          </cell>
          <cell r="AS37">
            <v>0</v>
          </cell>
          <cell r="AT37">
            <v>0</v>
          </cell>
          <cell r="AW37" t="str">
            <v>RAQ GUEGON 1</v>
          </cell>
          <cell r="AX37">
            <v>11.000097049197528</v>
          </cell>
          <cell r="AY37">
            <v>7</v>
          </cell>
          <cell r="AZ37">
            <v>2</v>
          </cell>
          <cell r="BA37">
            <v>0</v>
          </cell>
          <cell r="BB37">
            <v>5</v>
          </cell>
          <cell r="BC37">
            <v>35</v>
          </cell>
          <cell r="BD37">
            <v>63</v>
          </cell>
          <cell r="BO37" t="str">
            <v>RAQ GUEGON 1</v>
          </cell>
          <cell r="BP37">
            <v>11.000097049197528</v>
          </cell>
          <cell r="BQ37">
            <v>7</v>
          </cell>
          <cell r="BR37">
            <v>2</v>
          </cell>
          <cell r="BS37">
            <v>0</v>
          </cell>
          <cell r="BT37">
            <v>5</v>
          </cell>
          <cell r="BU37">
            <v>35</v>
          </cell>
          <cell r="BV37">
            <v>63</v>
          </cell>
        </row>
        <row r="38">
          <cell r="BN38" t="str">
            <v>Clt</v>
          </cell>
          <cell r="BO38" t="str">
            <v>MTT 5:  D3    E</v>
          </cell>
          <cell r="BP38" t="str">
            <v>Pts</v>
          </cell>
          <cell r="BQ38" t="str">
            <v>Joués</v>
          </cell>
          <cell r="BR38" t="str">
            <v>vic</v>
          </cell>
          <cell r="BU38" t="str">
            <v>PG</v>
          </cell>
          <cell r="BV38" t="str">
            <v>PP</v>
          </cell>
        </row>
        <row r="39">
          <cell r="Q39">
            <v>0</v>
          </cell>
          <cell r="R39">
            <v>0</v>
          </cell>
          <cell r="U39" t="str">
            <v>ASPTT VANNES 5</v>
          </cell>
          <cell r="V39">
            <v>17.000056265974813</v>
          </cell>
          <cell r="W39">
            <v>6</v>
          </cell>
          <cell r="X39">
            <v>5</v>
          </cell>
          <cell r="Y39">
            <v>1</v>
          </cell>
          <cell r="Z39">
            <v>0</v>
          </cell>
          <cell r="AA39">
            <v>59</v>
          </cell>
          <cell r="AB39">
            <v>25</v>
          </cell>
          <cell r="AS39">
            <v>0</v>
          </cell>
          <cell r="AT39">
            <v>0</v>
          </cell>
          <cell r="AW39" t="str">
            <v>BAUD TT 1</v>
          </cell>
          <cell r="AX39">
            <v>21.000076172321862</v>
          </cell>
          <cell r="AY39">
            <v>7</v>
          </cell>
          <cell r="AZ39">
            <v>7</v>
          </cell>
          <cell r="BA39">
            <v>0</v>
          </cell>
          <cell r="BB39">
            <v>0</v>
          </cell>
          <cell r="BC39">
            <v>75</v>
          </cell>
          <cell r="BD39">
            <v>23</v>
          </cell>
          <cell r="BO39" t="str">
            <v>BAUD TT 1</v>
          </cell>
          <cell r="BP39">
            <v>21.000076172321862</v>
          </cell>
          <cell r="BQ39">
            <v>7</v>
          </cell>
          <cell r="BR39">
            <v>7</v>
          </cell>
          <cell r="BS39">
            <v>0</v>
          </cell>
          <cell r="BT39">
            <v>0</v>
          </cell>
          <cell r="BU39">
            <v>75</v>
          </cell>
          <cell r="BV39">
            <v>23</v>
          </cell>
        </row>
        <row r="40">
          <cell r="Q40">
            <v>0</v>
          </cell>
          <cell r="R40">
            <v>0</v>
          </cell>
          <cell r="U40" t="str">
            <v>BAUD TT 1</v>
          </cell>
          <cell r="V40">
            <v>17.000037820632485</v>
          </cell>
          <cell r="W40">
            <v>6</v>
          </cell>
          <cell r="X40">
            <v>5</v>
          </cell>
          <cell r="Y40">
            <v>1</v>
          </cell>
          <cell r="Z40">
            <v>0</v>
          </cell>
          <cell r="AA40">
            <v>61</v>
          </cell>
          <cell r="AB40">
            <v>23</v>
          </cell>
          <cell r="AS40">
            <v>0</v>
          </cell>
          <cell r="AT40">
            <v>0</v>
          </cell>
          <cell r="AW40" t="str">
            <v>TT RHUYS 2</v>
          </cell>
          <cell r="AX40">
            <v>15.000070500427565</v>
          </cell>
          <cell r="AY40">
            <v>7</v>
          </cell>
          <cell r="AZ40">
            <v>4</v>
          </cell>
          <cell r="BA40">
            <v>0</v>
          </cell>
          <cell r="BB40">
            <v>3</v>
          </cell>
          <cell r="BC40">
            <v>53</v>
          </cell>
          <cell r="BD40">
            <v>45</v>
          </cell>
          <cell r="BO40" t="str">
            <v>TT RHUYS 2</v>
          </cell>
          <cell r="BP40">
            <v>15.000070500427565</v>
          </cell>
          <cell r="BQ40">
            <v>7</v>
          </cell>
          <cell r="BR40">
            <v>4</v>
          </cell>
          <cell r="BS40">
            <v>0</v>
          </cell>
          <cell r="BT40">
            <v>3</v>
          </cell>
          <cell r="BU40">
            <v>53</v>
          </cell>
          <cell r="BV40">
            <v>45</v>
          </cell>
        </row>
        <row r="41">
          <cell r="Q41">
            <v>0</v>
          </cell>
          <cell r="R41">
            <v>0</v>
          </cell>
          <cell r="U41" t="str">
            <v>CTT MENIMUR 5</v>
          </cell>
          <cell r="V41">
            <v>12.000058233733551</v>
          </cell>
          <cell r="W41">
            <v>6</v>
          </cell>
          <cell r="X41">
            <v>2</v>
          </cell>
          <cell r="Y41">
            <v>2</v>
          </cell>
          <cell r="Z41">
            <v>2</v>
          </cell>
          <cell r="AA41">
            <v>43</v>
          </cell>
          <cell r="AB41">
            <v>41</v>
          </cell>
          <cell r="AS41">
            <v>4</v>
          </cell>
          <cell r="AT41">
            <v>7</v>
          </cell>
          <cell r="AW41" t="str">
            <v>MUZILLAC TT 5</v>
          </cell>
          <cell r="AX41">
            <v>15.000051858059065</v>
          </cell>
          <cell r="AY41">
            <v>7</v>
          </cell>
          <cell r="AZ41">
            <v>4</v>
          </cell>
          <cell r="BA41">
            <v>0</v>
          </cell>
          <cell r="BB41">
            <v>3</v>
          </cell>
          <cell r="BC41">
            <v>54</v>
          </cell>
          <cell r="BD41">
            <v>44</v>
          </cell>
          <cell r="BO41" t="str">
            <v>MUZILLAC TT 5</v>
          </cell>
          <cell r="BP41">
            <v>15.000051858059065</v>
          </cell>
          <cell r="BQ41">
            <v>7</v>
          </cell>
          <cell r="BR41">
            <v>4</v>
          </cell>
          <cell r="BS41">
            <v>0</v>
          </cell>
          <cell r="BT41">
            <v>3</v>
          </cell>
          <cell r="BU41">
            <v>54</v>
          </cell>
          <cell r="BV41">
            <v>44</v>
          </cell>
        </row>
        <row r="42">
          <cell r="Q42">
            <v>0</v>
          </cell>
          <cell r="R42">
            <v>0</v>
          </cell>
          <cell r="U42" t="str">
            <v>PLUNERET/MERIAD 3</v>
          </cell>
          <cell r="V42">
            <v>11.000096556146318</v>
          </cell>
          <cell r="W42">
            <v>6</v>
          </cell>
          <cell r="X42">
            <v>1</v>
          </cell>
          <cell r="Y42">
            <v>3</v>
          </cell>
          <cell r="Z42">
            <v>2</v>
          </cell>
          <cell r="AA42">
            <v>38</v>
          </cell>
          <cell r="AB42">
            <v>46</v>
          </cell>
          <cell r="AS42">
            <v>0</v>
          </cell>
          <cell r="AT42">
            <v>0</v>
          </cell>
          <cell r="AW42" t="str">
            <v>ES ST-AVE 2</v>
          </cell>
          <cell r="AX42">
            <v>14.000000929825426</v>
          </cell>
          <cell r="AY42">
            <v>7</v>
          </cell>
          <cell r="AZ42">
            <v>3</v>
          </cell>
          <cell r="BA42">
            <v>1</v>
          </cell>
          <cell r="BB42">
            <v>3</v>
          </cell>
          <cell r="BC42">
            <v>47</v>
          </cell>
          <cell r="BD42">
            <v>51</v>
          </cell>
          <cell r="BO42" t="str">
            <v>ES ST-AVE 2</v>
          </cell>
          <cell r="BP42">
            <v>14.000000929825426</v>
          </cell>
          <cell r="BQ42">
            <v>7</v>
          </cell>
          <cell r="BR42">
            <v>3</v>
          </cell>
          <cell r="BS42">
            <v>1</v>
          </cell>
          <cell r="BT42">
            <v>3</v>
          </cell>
          <cell r="BU42">
            <v>47</v>
          </cell>
          <cell r="BV42">
            <v>51</v>
          </cell>
        </row>
        <row r="43">
          <cell r="Q43">
            <v>0</v>
          </cell>
          <cell r="R43">
            <v>0</v>
          </cell>
          <cell r="U43" t="str">
            <v>TT RHUYS 2</v>
          </cell>
          <cell r="V43">
            <v>11.000086643893066</v>
          </cell>
          <cell r="W43">
            <v>6</v>
          </cell>
          <cell r="X43">
            <v>2</v>
          </cell>
          <cell r="Y43">
            <v>1</v>
          </cell>
          <cell r="Z43">
            <v>3</v>
          </cell>
          <cell r="AA43">
            <v>36</v>
          </cell>
          <cell r="AB43">
            <v>48</v>
          </cell>
          <cell r="AS43">
            <v>0</v>
          </cell>
          <cell r="AT43">
            <v>0</v>
          </cell>
          <cell r="AW43" t="str">
            <v>CTT MENIMUR 4</v>
          </cell>
          <cell r="AX43">
            <v>13.000019680761751</v>
          </cell>
          <cell r="AY43">
            <v>7</v>
          </cell>
          <cell r="AZ43">
            <v>3</v>
          </cell>
          <cell r="BA43">
            <v>0</v>
          </cell>
          <cell r="BB43">
            <v>4</v>
          </cell>
          <cell r="BC43">
            <v>41</v>
          </cell>
          <cell r="BD43">
            <v>57</v>
          </cell>
          <cell r="BO43" t="str">
            <v>CTT MENIMUR 4</v>
          </cell>
          <cell r="BP43">
            <v>13.000019680761751</v>
          </cell>
          <cell r="BQ43">
            <v>7</v>
          </cell>
          <cell r="BR43">
            <v>3</v>
          </cell>
          <cell r="BS43">
            <v>0</v>
          </cell>
          <cell r="BT43">
            <v>4</v>
          </cell>
          <cell r="BU43">
            <v>41</v>
          </cell>
          <cell r="BV43">
            <v>57</v>
          </cell>
        </row>
        <row r="44">
          <cell r="Q44">
            <v>2</v>
          </cell>
          <cell r="R44">
            <v>6</v>
          </cell>
          <cell r="U44" t="str">
            <v>MUZILLAC TT 5</v>
          </cell>
          <cell r="V44">
            <v>11.00005350992938</v>
          </cell>
          <cell r="W44">
            <v>6</v>
          </cell>
          <cell r="X44">
            <v>2</v>
          </cell>
          <cell r="Y44">
            <v>1</v>
          </cell>
          <cell r="Z44">
            <v>3</v>
          </cell>
          <cell r="AA44">
            <v>35</v>
          </cell>
          <cell r="AB44">
            <v>49</v>
          </cell>
          <cell r="AS44">
            <v>0</v>
          </cell>
          <cell r="AT44">
            <v>0</v>
          </cell>
          <cell r="AW44" t="str">
            <v>PLUNERET/MERIAD 3</v>
          </cell>
          <cell r="AX44">
            <v>10.000051273234616</v>
          </cell>
          <cell r="AY44">
            <v>7</v>
          </cell>
          <cell r="AZ44">
            <v>1</v>
          </cell>
          <cell r="BA44">
            <v>1</v>
          </cell>
          <cell r="BB44">
            <v>5</v>
          </cell>
          <cell r="BC44">
            <v>46</v>
          </cell>
          <cell r="BD44">
            <v>52</v>
          </cell>
          <cell r="BO44" t="str">
            <v>PLUNERET/MERIAD 3</v>
          </cell>
          <cell r="BP44">
            <v>10.000051273234616</v>
          </cell>
          <cell r="BQ44">
            <v>7</v>
          </cell>
          <cell r="BR44">
            <v>1</v>
          </cell>
          <cell r="BS44">
            <v>1</v>
          </cell>
          <cell r="BT44">
            <v>5</v>
          </cell>
          <cell r="BU44">
            <v>46</v>
          </cell>
          <cell r="BV44">
            <v>52</v>
          </cell>
        </row>
        <row r="45">
          <cell r="Q45">
            <v>0</v>
          </cell>
          <cell r="R45">
            <v>0</v>
          </cell>
          <cell r="U45" t="str">
            <v>AO ST-NOLFF 2</v>
          </cell>
          <cell r="V45">
            <v>7.0000512792295728</v>
          </cell>
          <cell r="W45">
            <v>6</v>
          </cell>
          <cell r="X45">
            <v>0</v>
          </cell>
          <cell r="Y45">
            <v>1</v>
          </cell>
          <cell r="Z45">
            <v>5</v>
          </cell>
          <cell r="AA45">
            <v>26</v>
          </cell>
          <cell r="AB45">
            <v>58</v>
          </cell>
          <cell r="AS45">
            <v>0</v>
          </cell>
          <cell r="AT45">
            <v>0</v>
          </cell>
          <cell r="AW45" t="str">
            <v>TT RHUYS 1</v>
          </cell>
          <cell r="AX45">
            <v>10.000036554939857</v>
          </cell>
          <cell r="AY45">
            <v>6</v>
          </cell>
          <cell r="AZ45">
            <v>2</v>
          </cell>
          <cell r="BA45">
            <v>0</v>
          </cell>
          <cell r="BB45">
            <v>4</v>
          </cell>
          <cell r="BC45">
            <v>33</v>
          </cell>
          <cell r="BD45">
            <v>51</v>
          </cell>
          <cell r="BO45" t="str">
            <v>TT RHUYS 1</v>
          </cell>
          <cell r="BP45">
            <v>10.000036554939857</v>
          </cell>
          <cell r="BQ45">
            <v>6</v>
          </cell>
          <cell r="BR45">
            <v>2</v>
          </cell>
          <cell r="BS45">
            <v>0</v>
          </cell>
          <cell r="BT45">
            <v>4</v>
          </cell>
          <cell r="BU45">
            <v>33</v>
          </cell>
          <cell r="BV45">
            <v>51</v>
          </cell>
        </row>
        <row r="46">
          <cell r="Q46">
            <v>0</v>
          </cell>
          <cell r="R46">
            <v>0</v>
          </cell>
          <cell r="U46" t="str">
            <v>Exempt</v>
          </cell>
          <cell r="V46">
            <v>2.4642941879198024E-5</v>
          </cell>
          <cell r="W46">
            <v>0</v>
          </cell>
          <cell r="X46">
            <v>0</v>
          </cell>
          <cell r="Y46">
            <v>0</v>
          </cell>
          <cell r="Z46">
            <v>0</v>
          </cell>
          <cell r="AA46">
            <v>0</v>
          </cell>
          <cell r="AB46">
            <v>0</v>
          </cell>
          <cell r="AS46">
            <v>0</v>
          </cell>
          <cell r="AT46">
            <v>0</v>
          </cell>
          <cell r="AW46" t="str">
            <v>CTT MENIMUR 5</v>
          </cell>
          <cell r="AX46">
            <v>10.00001922981094</v>
          </cell>
          <cell r="AY46">
            <v>6</v>
          </cell>
          <cell r="AZ46">
            <v>2</v>
          </cell>
          <cell r="BA46">
            <v>0</v>
          </cell>
          <cell r="BB46">
            <v>4</v>
          </cell>
          <cell r="BC46">
            <v>29</v>
          </cell>
          <cell r="BD46">
            <v>55</v>
          </cell>
          <cell r="BO46" t="str">
            <v>CTT MENIMUR 5</v>
          </cell>
          <cell r="BP46">
            <v>10.00001922981094</v>
          </cell>
          <cell r="BQ46">
            <v>6</v>
          </cell>
          <cell r="BR46">
            <v>2</v>
          </cell>
          <cell r="BS46">
            <v>0</v>
          </cell>
          <cell r="BT46">
            <v>4</v>
          </cell>
          <cell r="BU46">
            <v>29</v>
          </cell>
          <cell r="BV46">
            <v>55</v>
          </cell>
        </row>
        <row r="47">
          <cell r="V47" t="str">
            <v>Pts</v>
          </cell>
          <cell r="W47" t="str">
            <v>Joués</v>
          </cell>
          <cell r="X47" t="str">
            <v>vict</v>
          </cell>
          <cell r="Y47" t="str">
            <v>nul</v>
          </cell>
          <cell r="Z47" t="str">
            <v>déf</v>
          </cell>
          <cell r="AA47" t="str">
            <v>PG</v>
          </cell>
          <cell r="AB47" t="str">
            <v>PP</v>
          </cell>
          <cell r="BO47" t="str">
            <v>MTT 6:  D3    G</v>
          </cell>
        </row>
        <row r="48">
          <cell r="Q48">
            <v>6</v>
          </cell>
          <cell r="R48">
            <v>6</v>
          </cell>
          <cell r="U48" t="str">
            <v>MUZILLAC TT 6</v>
          </cell>
          <cell r="V48">
            <v>18.00008798893289</v>
          </cell>
          <cell r="W48">
            <v>6</v>
          </cell>
          <cell r="X48">
            <v>6</v>
          </cell>
          <cell r="Y48">
            <v>0</v>
          </cell>
          <cell r="Z48">
            <v>0</v>
          </cell>
          <cell r="AA48">
            <v>67</v>
          </cell>
          <cell r="AB48">
            <v>17</v>
          </cell>
          <cell r="AS48">
            <v>0</v>
          </cell>
          <cell r="AT48">
            <v>0</v>
          </cell>
          <cell r="AW48" t="str">
            <v>SENE TT 3</v>
          </cell>
          <cell r="AX48">
            <v>21.000012966600476</v>
          </cell>
          <cell r="AY48">
            <v>7</v>
          </cell>
          <cell r="AZ48">
            <v>7</v>
          </cell>
          <cell r="BA48">
            <v>0</v>
          </cell>
          <cell r="BB48">
            <v>0</v>
          </cell>
          <cell r="BC48">
            <v>80</v>
          </cell>
          <cell r="BD48">
            <v>18</v>
          </cell>
          <cell r="BO48" t="str">
            <v>SENE TT 3</v>
          </cell>
          <cell r="BP48">
            <v>21.000012966600476</v>
          </cell>
          <cell r="BQ48">
            <v>7</v>
          </cell>
          <cell r="BR48">
            <v>7</v>
          </cell>
          <cell r="BS48">
            <v>0</v>
          </cell>
          <cell r="BT48">
            <v>0</v>
          </cell>
          <cell r="BU48">
            <v>80</v>
          </cell>
          <cell r="BV48">
            <v>18</v>
          </cell>
        </row>
        <row r="49">
          <cell r="Q49">
            <v>0</v>
          </cell>
          <cell r="R49">
            <v>0</v>
          </cell>
          <cell r="U49" t="str">
            <v>ST-JEAN BREVELA 2</v>
          </cell>
          <cell r="V49">
            <v>16.00001792431954</v>
          </cell>
          <cell r="W49">
            <v>6</v>
          </cell>
          <cell r="X49">
            <v>5</v>
          </cell>
          <cell r="Y49">
            <v>0</v>
          </cell>
          <cell r="Z49">
            <v>1</v>
          </cell>
          <cell r="AA49">
            <v>63</v>
          </cell>
          <cell r="AB49">
            <v>21</v>
          </cell>
          <cell r="AS49">
            <v>5</v>
          </cell>
          <cell r="AT49">
            <v>7</v>
          </cell>
          <cell r="AW49" t="str">
            <v>MUZILLAC TT 6</v>
          </cell>
          <cell r="AX49">
            <v>18.000010791450908</v>
          </cell>
          <cell r="AY49">
            <v>7</v>
          </cell>
          <cell r="AZ49">
            <v>5</v>
          </cell>
          <cell r="BA49">
            <v>1</v>
          </cell>
          <cell r="BB49">
            <v>1</v>
          </cell>
          <cell r="BC49">
            <v>63</v>
          </cell>
          <cell r="BD49">
            <v>35</v>
          </cell>
          <cell r="BO49" t="str">
            <v>MUZILLAC TT 6</v>
          </cell>
          <cell r="BP49">
            <v>18.000010791450908</v>
          </cell>
          <cell r="BQ49">
            <v>7</v>
          </cell>
          <cell r="BR49">
            <v>5</v>
          </cell>
          <cell r="BS49">
            <v>1</v>
          </cell>
          <cell r="BT49">
            <v>1</v>
          </cell>
          <cell r="BU49">
            <v>63</v>
          </cell>
          <cell r="BV49">
            <v>35</v>
          </cell>
        </row>
        <row r="50">
          <cell r="Q50">
            <v>0</v>
          </cell>
          <cell r="R50">
            <v>0</v>
          </cell>
          <cell r="U50" t="str">
            <v>L. PLOERMEL 7</v>
          </cell>
          <cell r="V50">
            <v>12.00009999224709</v>
          </cell>
          <cell r="W50">
            <v>6</v>
          </cell>
          <cell r="X50">
            <v>3</v>
          </cell>
          <cell r="Y50">
            <v>0</v>
          </cell>
          <cell r="Z50">
            <v>3</v>
          </cell>
          <cell r="AA50">
            <v>45</v>
          </cell>
          <cell r="AB50">
            <v>39</v>
          </cell>
          <cell r="AS50">
            <v>0</v>
          </cell>
          <cell r="AT50">
            <v>0</v>
          </cell>
          <cell r="AW50" t="str">
            <v>CTT MENIMUR 6</v>
          </cell>
          <cell r="AX50">
            <v>15.000063407774354</v>
          </cell>
          <cell r="AY50">
            <v>7</v>
          </cell>
          <cell r="AZ50">
            <v>4</v>
          </cell>
          <cell r="BA50">
            <v>0</v>
          </cell>
          <cell r="BB50">
            <v>3</v>
          </cell>
          <cell r="BC50">
            <v>60</v>
          </cell>
          <cell r="BD50">
            <v>38</v>
          </cell>
          <cell r="BO50" t="str">
            <v>CTT MENIMUR 6</v>
          </cell>
          <cell r="BP50">
            <v>15.000063407774354</v>
          </cell>
          <cell r="BQ50">
            <v>7</v>
          </cell>
          <cell r="BR50">
            <v>4</v>
          </cell>
          <cell r="BS50">
            <v>3</v>
          </cell>
          <cell r="BT50">
            <v>0</v>
          </cell>
          <cell r="BU50">
            <v>60</v>
          </cell>
          <cell r="BV50">
            <v>38</v>
          </cell>
        </row>
        <row r="51">
          <cell r="Q51">
            <v>0</v>
          </cell>
          <cell r="R51">
            <v>0</v>
          </cell>
          <cell r="U51" t="str">
            <v>AO ST-NOLFF 3</v>
          </cell>
          <cell r="V51">
            <v>12.000021729017154</v>
          </cell>
          <cell r="W51">
            <v>6</v>
          </cell>
          <cell r="X51">
            <v>3</v>
          </cell>
          <cell r="Y51">
            <v>0</v>
          </cell>
          <cell r="Z51">
            <v>3</v>
          </cell>
          <cell r="AA51">
            <v>46</v>
          </cell>
          <cell r="AB51">
            <v>38</v>
          </cell>
          <cell r="AS51">
            <v>0</v>
          </cell>
          <cell r="AT51">
            <v>0</v>
          </cell>
          <cell r="AW51" t="str">
            <v>ES ST-AVE 1</v>
          </cell>
          <cell r="AX51">
            <v>13.000074035162916</v>
          </cell>
          <cell r="AY51">
            <v>7</v>
          </cell>
          <cell r="AZ51">
            <v>2</v>
          </cell>
          <cell r="BA51">
            <v>2</v>
          </cell>
          <cell r="BB51">
            <v>3</v>
          </cell>
          <cell r="BC51">
            <v>43</v>
          </cell>
          <cell r="BD51">
            <v>55</v>
          </cell>
          <cell r="BO51" t="str">
            <v>ES ST-AVE 1</v>
          </cell>
          <cell r="BP51">
            <v>13.000074035162916</v>
          </cell>
          <cell r="BQ51">
            <v>7</v>
          </cell>
          <cell r="BR51">
            <v>2</v>
          </cell>
          <cell r="BS51">
            <v>3</v>
          </cell>
          <cell r="BT51">
            <v>2</v>
          </cell>
          <cell r="BU51">
            <v>43</v>
          </cell>
          <cell r="BV51">
            <v>55</v>
          </cell>
        </row>
        <row r="52">
          <cell r="Q52">
            <v>0</v>
          </cell>
          <cell r="R52">
            <v>0</v>
          </cell>
          <cell r="U52" t="str">
            <v>ARGOET STT 4</v>
          </cell>
          <cell r="V52">
            <v>12.00001430886716</v>
          </cell>
          <cell r="W52">
            <v>6</v>
          </cell>
          <cell r="X52">
            <v>3</v>
          </cell>
          <cell r="Y52">
            <v>0</v>
          </cell>
          <cell r="Z52">
            <v>3</v>
          </cell>
          <cell r="AA52">
            <v>42</v>
          </cell>
          <cell r="AB52">
            <v>42</v>
          </cell>
          <cell r="AS52">
            <v>0</v>
          </cell>
          <cell r="AT52">
            <v>0</v>
          </cell>
          <cell r="AW52" t="str">
            <v>ARGOET STT 2</v>
          </cell>
          <cell r="AX52">
            <v>13.000011469301867</v>
          </cell>
          <cell r="AY52">
            <v>7</v>
          </cell>
          <cell r="AZ52">
            <v>3</v>
          </cell>
          <cell r="BA52">
            <v>0</v>
          </cell>
          <cell r="BB52">
            <v>4</v>
          </cell>
          <cell r="BC52">
            <v>37</v>
          </cell>
          <cell r="BD52">
            <v>61</v>
          </cell>
          <cell r="BO52" t="str">
            <v>ARGOET STT 2</v>
          </cell>
          <cell r="BP52">
            <v>13.000011469301867</v>
          </cell>
          <cell r="BQ52">
            <v>7</v>
          </cell>
          <cell r="BR52">
            <v>3</v>
          </cell>
          <cell r="BS52">
            <v>4</v>
          </cell>
          <cell r="BT52">
            <v>0</v>
          </cell>
          <cell r="BU52">
            <v>37</v>
          </cell>
          <cell r="BV52">
            <v>61</v>
          </cell>
        </row>
        <row r="53">
          <cell r="Q53">
            <v>0</v>
          </cell>
          <cell r="R53">
            <v>0</v>
          </cell>
          <cell r="U53" t="str">
            <v>BO QUESTEMBERT 4</v>
          </cell>
          <cell r="V53">
            <v>8.0000369999821039</v>
          </cell>
          <cell r="W53">
            <v>6</v>
          </cell>
          <cell r="X53">
            <v>1</v>
          </cell>
          <cell r="Y53">
            <v>0</v>
          </cell>
          <cell r="Z53">
            <v>5</v>
          </cell>
          <cell r="AA53">
            <v>18</v>
          </cell>
          <cell r="AB53">
            <v>66</v>
          </cell>
          <cell r="AS53">
            <v>0</v>
          </cell>
          <cell r="AT53">
            <v>0</v>
          </cell>
          <cell r="AW53" t="str">
            <v>FC ST-RAOUL 2</v>
          </cell>
          <cell r="AX53">
            <v>12.000028074268863</v>
          </cell>
          <cell r="AY53">
            <v>7</v>
          </cell>
          <cell r="AZ53">
            <v>1</v>
          </cell>
          <cell r="BA53">
            <v>3</v>
          </cell>
          <cell r="BB53">
            <v>3</v>
          </cell>
          <cell r="BC53">
            <v>41</v>
          </cell>
          <cell r="BD53">
            <v>57</v>
          </cell>
          <cell r="BO53" t="str">
            <v>FC ST-RAOUL 2</v>
          </cell>
          <cell r="BP53">
            <v>12.000028074268863</v>
          </cell>
          <cell r="BQ53">
            <v>7</v>
          </cell>
          <cell r="BR53">
            <v>1</v>
          </cell>
          <cell r="BS53">
            <v>3</v>
          </cell>
          <cell r="BT53">
            <v>3</v>
          </cell>
          <cell r="BU53">
            <v>41</v>
          </cell>
          <cell r="BV53">
            <v>57</v>
          </cell>
        </row>
        <row r="54">
          <cell r="Q54">
            <v>0</v>
          </cell>
          <cell r="R54">
            <v>0</v>
          </cell>
          <cell r="U54" t="str">
            <v>RM PLUMELEC 2</v>
          </cell>
          <cell r="V54">
            <v>6.0000060690518628</v>
          </cell>
          <cell r="W54">
            <v>6</v>
          </cell>
          <cell r="X54">
            <v>0</v>
          </cell>
          <cell r="Y54">
            <v>0</v>
          </cell>
          <cell r="Z54">
            <v>6</v>
          </cell>
          <cell r="AA54">
            <v>13</v>
          </cell>
          <cell r="AB54">
            <v>71</v>
          </cell>
          <cell r="AS54">
            <v>0</v>
          </cell>
          <cell r="AT54">
            <v>0</v>
          </cell>
          <cell r="AW54" t="str">
            <v>JA PLEUCADEUC 3</v>
          </cell>
          <cell r="AX54">
            <v>11.00000345467217</v>
          </cell>
          <cell r="AY54">
            <v>7</v>
          </cell>
          <cell r="AZ54">
            <v>1</v>
          </cell>
          <cell r="BA54">
            <v>2</v>
          </cell>
          <cell r="BB54">
            <v>4</v>
          </cell>
          <cell r="BC54">
            <v>35</v>
          </cell>
          <cell r="BD54">
            <v>63</v>
          </cell>
          <cell r="BP54">
            <v>11.00000345467217</v>
          </cell>
          <cell r="BQ54">
            <v>7</v>
          </cell>
          <cell r="BR54">
            <v>1</v>
          </cell>
          <cell r="BS54">
            <v>4</v>
          </cell>
          <cell r="BT54">
            <v>2</v>
          </cell>
          <cell r="BU54">
            <v>35</v>
          </cell>
          <cell r="BV54">
            <v>63</v>
          </cell>
        </row>
        <row r="55">
          <cell r="Q55">
            <v>0</v>
          </cell>
          <cell r="R55">
            <v>0</v>
          </cell>
          <cell r="U55" t="str">
            <v>Exempt</v>
          </cell>
          <cell r="V55">
            <v>4.8909638231983467E-5</v>
          </cell>
          <cell r="W55">
            <v>0</v>
          </cell>
          <cell r="X55">
            <v>0</v>
          </cell>
          <cell r="Y55">
            <v>0</v>
          </cell>
          <cell r="Z55">
            <v>0</v>
          </cell>
          <cell r="AA55">
            <v>0</v>
          </cell>
          <cell r="AB55">
            <v>0</v>
          </cell>
          <cell r="AS55">
            <v>0</v>
          </cell>
          <cell r="AT55">
            <v>0</v>
          </cell>
          <cell r="AW55" t="str">
            <v>RAQ PEILLAC 1</v>
          </cell>
          <cell r="AX55">
            <v>9.00003237503992</v>
          </cell>
          <cell r="AY55">
            <v>7</v>
          </cell>
          <cell r="AZ55">
            <v>1</v>
          </cell>
          <cell r="BA55">
            <v>0</v>
          </cell>
          <cell r="BB55">
            <v>6</v>
          </cell>
          <cell r="BC55">
            <v>33</v>
          </cell>
          <cell r="BD55">
            <v>65</v>
          </cell>
          <cell r="BP55">
            <v>9.00003237503992</v>
          </cell>
          <cell r="BQ55">
            <v>7</v>
          </cell>
          <cell r="BR55">
            <v>1</v>
          </cell>
          <cell r="BS55">
            <v>6</v>
          </cell>
          <cell r="BT55">
            <v>0</v>
          </cell>
          <cell r="BU55">
            <v>33</v>
          </cell>
          <cell r="BV55">
            <v>65</v>
          </cell>
        </row>
        <row r="56">
          <cell r="BO56" t="str">
            <v>MTT 7:  D3    F</v>
          </cell>
        </row>
        <row r="57">
          <cell r="Q57">
            <v>6</v>
          </cell>
          <cell r="R57">
            <v>6</v>
          </cell>
          <cell r="U57" t="str">
            <v>MUZILLAC TT 7</v>
          </cell>
          <cell r="V57">
            <v>18.000000603687901</v>
          </cell>
          <cell r="W57">
            <v>6</v>
          </cell>
          <cell r="X57">
            <v>6</v>
          </cell>
          <cell r="Y57">
            <v>0</v>
          </cell>
          <cell r="Z57">
            <v>0</v>
          </cell>
          <cell r="AA57">
            <v>66</v>
          </cell>
          <cell r="AB57">
            <v>18</v>
          </cell>
          <cell r="AS57">
            <v>0</v>
          </cell>
          <cell r="AT57">
            <v>0</v>
          </cell>
          <cell r="AW57" t="str">
            <v>AS ST PHILIBERT 2</v>
          </cell>
          <cell r="AX57">
            <v>21.000096326756061</v>
          </cell>
          <cell r="AY57">
            <v>7</v>
          </cell>
          <cell r="AZ57">
            <v>7</v>
          </cell>
          <cell r="BA57">
            <v>0</v>
          </cell>
          <cell r="BB57">
            <v>0</v>
          </cell>
          <cell r="BC57">
            <v>74</v>
          </cell>
          <cell r="BD57">
            <v>24</v>
          </cell>
          <cell r="BO57" t="str">
            <v>AS ST PHILIBERT 2</v>
          </cell>
          <cell r="BP57">
            <v>21.000096326756061</v>
          </cell>
          <cell r="BQ57">
            <v>7</v>
          </cell>
          <cell r="BR57">
            <v>7</v>
          </cell>
          <cell r="BS57">
            <v>0</v>
          </cell>
          <cell r="BT57">
            <v>0</v>
          </cell>
          <cell r="BU57">
            <v>74</v>
          </cell>
          <cell r="BV57">
            <v>24</v>
          </cell>
        </row>
        <row r="58">
          <cell r="Q58">
            <v>0</v>
          </cell>
          <cell r="R58">
            <v>0</v>
          </cell>
          <cell r="U58" t="str">
            <v>AJK VANNES 6</v>
          </cell>
          <cell r="V58">
            <v>13.000047470845493</v>
          </cell>
          <cell r="W58">
            <v>6</v>
          </cell>
          <cell r="X58">
            <v>3</v>
          </cell>
          <cell r="Y58">
            <v>1</v>
          </cell>
          <cell r="Z58">
            <v>2</v>
          </cell>
          <cell r="AA58">
            <v>53</v>
          </cell>
          <cell r="AB58">
            <v>31</v>
          </cell>
          <cell r="AS58">
            <v>0</v>
          </cell>
          <cell r="AT58">
            <v>0</v>
          </cell>
          <cell r="AW58" t="str">
            <v>GOLFETT PLOEREN 2</v>
          </cell>
          <cell r="AX58">
            <v>17.000094423364974</v>
          </cell>
          <cell r="AY58">
            <v>7</v>
          </cell>
          <cell r="AZ58">
            <v>5</v>
          </cell>
          <cell r="BA58">
            <v>0</v>
          </cell>
          <cell r="BB58">
            <v>2</v>
          </cell>
          <cell r="BC58">
            <v>62</v>
          </cell>
          <cell r="BD58">
            <v>36</v>
          </cell>
          <cell r="BO58" t="str">
            <v>GOLFETT PLOEREN 2</v>
          </cell>
          <cell r="BP58">
            <v>17.000094423364974</v>
          </cell>
          <cell r="BQ58">
            <v>7</v>
          </cell>
          <cell r="BR58">
            <v>5</v>
          </cell>
          <cell r="BS58">
            <v>0</v>
          </cell>
          <cell r="BT58">
            <v>2</v>
          </cell>
          <cell r="BU58">
            <v>62</v>
          </cell>
          <cell r="BV58">
            <v>36</v>
          </cell>
        </row>
        <row r="59">
          <cell r="Q59">
            <v>0</v>
          </cell>
          <cell r="R59">
            <v>0</v>
          </cell>
          <cell r="U59" t="str">
            <v>CTT MENIMUR 8</v>
          </cell>
          <cell r="V59">
            <v>12.000045635317859</v>
          </cell>
          <cell r="W59">
            <v>6</v>
          </cell>
          <cell r="X59">
            <v>3</v>
          </cell>
          <cell r="Y59">
            <v>0</v>
          </cell>
          <cell r="Z59">
            <v>3</v>
          </cell>
          <cell r="AA59">
            <v>45</v>
          </cell>
          <cell r="AB59">
            <v>39</v>
          </cell>
          <cell r="AS59">
            <v>0</v>
          </cell>
          <cell r="AT59">
            <v>0</v>
          </cell>
          <cell r="AW59" t="str">
            <v>TT QUIBERON 1</v>
          </cell>
          <cell r="AX59">
            <v>14.000077153885668</v>
          </cell>
          <cell r="AY59">
            <v>7</v>
          </cell>
          <cell r="AZ59">
            <v>3</v>
          </cell>
          <cell r="BA59">
            <v>1</v>
          </cell>
          <cell r="BB59">
            <v>3</v>
          </cell>
          <cell r="BC59">
            <v>51</v>
          </cell>
          <cell r="BD59">
            <v>47</v>
          </cell>
          <cell r="BO59" t="str">
            <v>TT QUIBERON 1</v>
          </cell>
          <cell r="BP59">
            <v>14.000077153885668</v>
          </cell>
          <cell r="BQ59">
            <v>7</v>
          </cell>
          <cell r="BR59">
            <v>3</v>
          </cell>
          <cell r="BS59">
            <v>1</v>
          </cell>
          <cell r="BT59">
            <v>3</v>
          </cell>
          <cell r="BU59">
            <v>51</v>
          </cell>
          <cell r="BV59">
            <v>47</v>
          </cell>
        </row>
        <row r="60">
          <cell r="Q60">
            <v>0</v>
          </cell>
          <cell r="R60">
            <v>0</v>
          </cell>
          <cell r="U60" t="str">
            <v>ARGOET STT 3</v>
          </cell>
          <cell r="V60">
            <v>11.000062532488501</v>
          </cell>
          <cell r="W60">
            <v>5</v>
          </cell>
          <cell r="X60">
            <v>3</v>
          </cell>
          <cell r="Y60">
            <v>0</v>
          </cell>
          <cell r="Z60">
            <v>2</v>
          </cell>
          <cell r="AA60">
            <v>30</v>
          </cell>
          <cell r="AB60">
            <v>40</v>
          </cell>
          <cell r="AS60">
            <v>0</v>
          </cell>
          <cell r="AT60">
            <v>0</v>
          </cell>
          <cell r="AW60" t="str">
            <v>BAUD TT 3</v>
          </cell>
          <cell r="AX60">
            <v>13.00009016263078</v>
          </cell>
          <cell r="AY60">
            <v>7</v>
          </cell>
          <cell r="AZ60">
            <v>3</v>
          </cell>
          <cell r="BA60">
            <v>0</v>
          </cell>
          <cell r="BB60">
            <v>4</v>
          </cell>
          <cell r="BC60">
            <v>43</v>
          </cell>
          <cell r="BD60">
            <v>55</v>
          </cell>
          <cell r="BO60" t="str">
            <v>BAUD TT 3</v>
          </cell>
          <cell r="BP60">
            <v>13.00009016263078</v>
          </cell>
          <cell r="BQ60">
            <v>7</v>
          </cell>
          <cell r="BR60">
            <v>3</v>
          </cell>
          <cell r="BS60">
            <v>0</v>
          </cell>
          <cell r="BT60">
            <v>4</v>
          </cell>
          <cell r="BU60">
            <v>43</v>
          </cell>
          <cell r="BV60">
            <v>55</v>
          </cell>
        </row>
        <row r="61">
          <cell r="Q61">
            <v>0</v>
          </cell>
          <cell r="R61">
            <v>0</v>
          </cell>
          <cell r="U61" t="str">
            <v>SENE TT 4</v>
          </cell>
          <cell r="V61">
            <v>10.000030639806875</v>
          </cell>
          <cell r="W61">
            <v>6</v>
          </cell>
          <cell r="X61">
            <v>2</v>
          </cell>
          <cell r="Y61">
            <v>0</v>
          </cell>
          <cell r="Z61">
            <v>4</v>
          </cell>
          <cell r="AA61">
            <v>29</v>
          </cell>
          <cell r="AB61">
            <v>55</v>
          </cell>
          <cell r="AS61">
            <v>0</v>
          </cell>
          <cell r="AT61">
            <v>0</v>
          </cell>
          <cell r="AW61" t="str">
            <v>TT ERDEVEN-BELZ 1</v>
          </cell>
          <cell r="AX61">
            <v>13.000065330690823</v>
          </cell>
          <cell r="AY61">
            <v>5</v>
          </cell>
          <cell r="AZ61">
            <v>4</v>
          </cell>
          <cell r="BA61">
            <v>0</v>
          </cell>
          <cell r="BB61">
            <v>1</v>
          </cell>
          <cell r="BC61">
            <v>48</v>
          </cell>
          <cell r="BD61">
            <v>22</v>
          </cell>
          <cell r="BO61" t="str">
            <v>TT ERDEVEN-BELZ 1</v>
          </cell>
          <cell r="BP61">
            <v>13.000065330690823</v>
          </cell>
          <cell r="BQ61">
            <v>5</v>
          </cell>
          <cell r="BR61">
            <v>4</v>
          </cell>
          <cell r="BS61">
            <v>0</v>
          </cell>
          <cell r="BT61">
            <v>1</v>
          </cell>
          <cell r="BU61">
            <v>48</v>
          </cell>
          <cell r="BV61">
            <v>22</v>
          </cell>
        </row>
        <row r="62">
          <cell r="Q62">
            <v>0</v>
          </cell>
          <cell r="R62">
            <v>0</v>
          </cell>
          <cell r="U62" t="str">
            <v>ASPTT VANNES 8</v>
          </cell>
          <cell r="V62">
            <v>9.0000944401680787</v>
          </cell>
          <cell r="W62">
            <v>6</v>
          </cell>
          <cell r="X62">
            <v>1</v>
          </cell>
          <cell r="Y62">
            <v>1</v>
          </cell>
          <cell r="Z62">
            <v>4</v>
          </cell>
          <cell r="AA62">
            <v>36</v>
          </cell>
          <cell r="AB62">
            <v>48</v>
          </cell>
          <cell r="AS62">
            <v>0</v>
          </cell>
          <cell r="AT62">
            <v>0</v>
          </cell>
          <cell r="AW62" t="str">
            <v>AJK VANNES 5</v>
          </cell>
          <cell r="AX62">
            <v>11.0000936543503</v>
          </cell>
          <cell r="AY62">
            <v>7</v>
          </cell>
          <cell r="AZ62">
            <v>2</v>
          </cell>
          <cell r="BA62">
            <v>0</v>
          </cell>
          <cell r="BB62">
            <v>5</v>
          </cell>
          <cell r="BC62">
            <v>46</v>
          </cell>
          <cell r="BD62">
            <v>52</v>
          </cell>
          <cell r="BO62" t="str">
            <v>AJK VANNES 5</v>
          </cell>
          <cell r="BP62">
            <v>11.0000936543503</v>
          </cell>
          <cell r="BQ62">
            <v>7</v>
          </cell>
          <cell r="BR62">
            <v>2</v>
          </cell>
          <cell r="BS62">
            <v>0</v>
          </cell>
          <cell r="BT62">
            <v>5</v>
          </cell>
          <cell r="BU62">
            <v>46</v>
          </cell>
          <cell r="BV62">
            <v>52</v>
          </cell>
        </row>
        <row r="63">
          <cell r="Q63">
            <v>0</v>
          </cell>
          <cell r="R63">
            <v>0</v>
          </cell>
          <cell r="U63" t="str">
            <v>ES ST-AVE 4</v>
          </cell>
          <cell r="V63">
            <v>7.0000292201619319</v>
          </cell>
          <cell r="W63">
            <v>5</v>
          </cell>
          <cell r="X63">
            <v>1</v>
          </cell>
          <cell r="Y63">
            <v>0</v>
          </cell>
          <cell r="Z63">
            <v>4</v>
          </cell>
          <cell r="AA63">
            <v>21</v>
          </cell>
          <cell r="AB63">
            <v>49</v>
          </cell>
          <cell r="AS63">
            <v>0</v>
          </cell>
          <cell r="AT63">
            <v>0</v>
          </cell>
          <cell r="AW63" t="str">
            <v>AL PLOEMEUR 8</v>
          </cell>
          <cell r="AX63">
            <v>10.000047295362281</v>
          </cell>
          <cell r="AY63">
            <v>6</v>
          </cell>
          <cell r="AZ63">
            <v>2</v>
          </cell>
          <cell r="BA63">
            <v>0</v>
          </cell>
          <cell r="BB63">
            <v>4</v>
          </cell>
          <cell r="BC63">
            <v>25</v>
          </cell>
          <cell r="BD63">
            <v>59</v>
          </cell>
          <cell r="BO63" t="str">
            <v>AL PLOEMEUR 8</v>
          </cell>
          <cell r="BP63">
            <v>10.000047295362281</v>
          </cell>
          <cell r="BQ63">
            <v>6</v>
          </cell>
          <cell r="BR63">
            <v>2</v>
          </cell>
          <cell r="BS63">
            <v>0</v>
          </cell>
          <cell r="BT63">
            <v>4</v>
          </cell>
          <cell r="BU63">
            <v>25</v>
          </cell>
          <cell r="BV63">
            <v>59</v>
          </cell>
        </row>
        <row r="64">
          <cell r="Q64">
            <v>0</v>
          </cell>
          <cell r="R64">
            <v>0</v>
          </cell>
          <cell r="U64" t="str">
            <v>Exempt</v>
          </cell>
          <cell r="V64">
            <v>9.7429507139983808E-5</v>
          </cell>
          <cell r="W64">
            <v>0</v>
          </cell>
          <cell r="X64">
            <v>0</v>
          </cell>
          <cell r="Y64">
            <v>0</v>
          </cell>
          <cell r="Z64">
            <v>0</v>
          </cell>
          <cell r="AA64">
            <v>0</v>
          </cell>
          <cell r="AB64">
            <v>0</v>
          </cell>
          <cell r="AS64">
            <v>0</v>
          </cell>
          <cell r="AT64">
            <v>7</v>
          </cell>
          <cell r="AW64" t="str">
            <v>MUZILLAC TT 7</v>
          </cell>
          <cell r="AX64">
            <v>8.0000308160880067</v>
          </cell>
          <cell r="AY64">
            <v>7</v>
          </cell>
          <cell r="AZ64">
            <v>0</v>
          </cell>
          <cell r="BA64">
            <v>1</v>
          </cell>
          <cell r="BB64">
            <v>6</v>
          </cell>
          <cell r="BC64">
            <v>24</v>
          </cell>
          <cell r="BD64">
            <v>74</v>
          </cell>
          <cell r="BO64" t="str">
            <v>MUZILLAC TT 7</v>
          </cell>
          <cell r="BP64">
            <v>8.0000308160880067</v>
          </cell>
          <cell r="BQ64">
            <v>7</v>
          </cell>
          <cell r="BR64">
            <v>0</v>
          </cell>
          <cell r="BS64">
            <v>1</v>
          </cell>
          <cell r="BT64">
            <v>6</v>
          </cell>
          <cell r="BU64">
            <v>24</v>
          </cell>
          <cell r="BV64">
            <v>74</v>
          </cell>
        </row>
        <row r="66">
          <cell r="Q66">
            <v>3</v>
          </cell>
          <cell r="AS66">
            <v>6</v>
          </cell>
        </row>
        <row r="67">
          <cell r="T67">
            <v>7</v>
          </cell>
          <cell r="U67">
            <v>4</v>
          </cell>
          <cell r="V67">
            <v>7</v>
          </cell>
          <cell r="W67">
            <v>1</v>
          </cell>
          <cell r="X67">
            <v>2</v>
          </cell>
          <cell r="Y67">
            <v>6</v>
          </cell>
          <cell r="Z67">
            <v>6</v>
          </cell>
        </row>
        <row r="68">
          <cell r="Q68">
            <v>0</v>
          </cell>
          <cell r="AS68">
            <v>1</v>
          </cell>
        </row>
        <row r="69">
          <cell r="Q69">
            <v>0</v>
          </cell>
          <cell r="AS69">
            <v>1</v>
          </cell>
        </row>
      </sheetData>
      <sheetData sheetId="21"/>
      <sheetData sheetId="22">
        <row r="27">
          <cell r="J27">
            <v>3</v>
          </cell>
          <cell r="K27">
            <v>3</v>
          </cell>
        </row>
      </sheetData>
      <sheetData sheetId="23">
        <row r="12">
          <cell r="B12" t="str">
            <v>Ayoul-Bellot Thais</v>
          </cell>
          <cell r="C12">
            <v>0</v>
          </cell>
          <cell r="D12">
            <v>0</v>
          </cell>
          <cell r="E12">
            <v>2</v>
          </cell>
          <cell r="G12">
            <v>0</v>
          </cell>
          <cell r="J12">
            <v>2</v>
          </cell>
          <cell r="K12">
            <v>10</v>
          </cell>
          <cell r="AA12" t="str">
            <v>Sail Rémy</v>
          </cell>
          <cell r="AB12">
            <v>3</v>
          </cell>
          <cell r="AC12">
            <v>3</v>
          </cell>
          <cell r="AD12">
            <v>3</v>
          </cell>
          <cell r="AG12">
            <v>9</v>
          </cell>
          <cell r="AH12">
            <v>0</v>
          </cell>
        </row>
        <row r="13">
          <cell r="B13" t="str">
            <v>Simon Titouan</v>
          </cell>
          <cell r="C13">
            <v>0</v>
          </cell>
          <cell r="D13">
            <v>1</v>
          </cell>
          <cell r="E13">
            <v>2</v>
          </cell>
          <cell r="F13">
            <v>1</v>
          </cell>
          <cell r="G13">
            <v>0</v>
          </cell>
          <cell r="J13">
            <v>4</v>
          </cell>
          <cell r="K13">
            <v>11</v>
          </cell>
          <cell r="AA13" t="str">
            <v>Ayoul-Bellot Thais</v>
          </cell>
          <cell r="AF13">
            <v>0</v>
          </cell>
          <cell r="AG13">
            <v>0</v>
          </cell>
          <cell r="AH13">
            <v>3</v>
          </cell>
        </row>
        <row r="14">
          <cell r="B14" t="str">
            <v>Sail Rémy</v>
          </cell>
          <cell r="C14">
            <v>3</v>
          </cell>
          <cell r="D14">
            <v>3</v>
          </cell>
          <cell r="E14">
            <v>3</v>
          </cell>
          <cell r="F14">
            <v>2</v>
          </cell>
          <cell r="G14">
            <v>3</v>
          </cell>
          <cell r="J14">
            <v>14</v>
          </cell>
          <cell r="K14">
            <v>1</v>
          </cell>
          <cell r="AA14" t="str">
            <v>Simon Titouan</v>
          </cell>
          <cell r="AB14">
            <v>3</v>
          </cell>
          <cell r="AC14">
            <v>0</v>
          </cell>
          <cell r="AD14">
            <v>0</v>
          </cell>
          <cell r="AE14">
            <v>2</v>
          </cell>
          <cell r="AF14">
            <v>0</v>
          </cell>
          <cell r="AG14">
            <v>5</v>
          </cell>
          <cell r="AH14">
            <v>10</v>
          </cell>
        </row>
        <row r="15">
          <cell r="B15" t="str">
            <v>Morin Quentin</v>
          </cell>
          <cell r="F15">
            <v>3</v>
          </cell>
          <cell r="J15">
            <v>3</v>
          </cell>
          <cell r="K15">
            <v>0</v>
          </cell>
          <cell r="AA15" t="str">
            <v>Zaragoza Quentin</v>
          </cell>
          <cell r="AB15">
            <v>3</v>
          </cell>
          <cell r="AC15">
            <v>3</v>
          </cell>
          <cell r="AE15">
            <v>3</v>
          </cell>
          <cell r="AG15">
            <v>9</v>
          </cell>
          <cell r="AH15">
            <v>0</v>
          </cell>
        </row>
        <row r="16">
          <cell r="J16">
            <v>0</v>
          </cell>
          <cell r="K16">
            <v>0</v>
          </cell>
          <cell r="AA16" t="str">
            <v>Cojean Gwendal</v>
          </cell>
          <cell r="AD16">
            <v>1</v>
          </cell>
          <cell r="AE16">
            <v>1</v>
          </cell>
          <cell r="AF16">
            <v>0</v>
          </cell>
          <cell r="AG16">
            <v>2</v>
          </cell>
          <cell r="AH16">
            <v>7</v>
          </cell>
        </row>
        <row r="17">
          <cell r="J17">
            <v>0</v>
          </cell>
          <cell r="K17">
            <v>0</v>
          </cell>
          <cell r="AG17">
            <v>0</v>
          </cell>
          <cell r="AH17">
            <v>0</v>
          </cell>
        </row>
        <row r="18">
          <cell r="J18">
            <v>0</v>
          </cell>
          <cell r="K18">
            <v>0</v>
          </cell>
          <cell r="AG18">
            <v>0</v>
          </cell>
          <cell r="AH18">
            <v>0</v>
          </cell>
        </row>
        <row r="19">
          <cell r="J19">
            <v>0</v>
          </cell>
          <cell r="K19">
            <v>0</v>
          </cell>
          <cell r="AA19" t="str">
            <v>Doubles</v>
          </cell>
          <cell r="AB19">
            <v>0</v>
          </cell>
          <cell r="AC19">
            <v>0</v>
          </cell>
          <cell r="AD19">
            <v>1</v>
          </cell>
          <cell r="AE19">
            <v>1</v>
          </cell>
          <cell r="AF19">
            <v>0</v>
          </cell>
          <cell r="AG19">
            <v>2</v>
          </cell>
          <cell r="AH19">
            <v>3</v>
          </cell>
        </row>
        <row r="20">
          <cell r="J20">
            <v>0</v>
          </cell>
          <cell r="K20">
            <v>0</v>
          </cell>
        </row>
        <row r="21">
          <cell r="B21" t="str">
            <v>Doubles</v>
          </cell>
          <cell r="C21">
            <v>1</v>
          </cell>
          <cell r="D21">
            <v>1</v>
          </cell>
          <cell r="F21">
            <v>1</v>
          </cell>
          <cell r="G21">
            <v>1</v>
          </cell>
          <cell r="H21" t="str">
            <v/>
          </cell>
          <cell r="I21" t="str">
            <v/>
          </cell>
          <cell r="J21">
            <v>4</v>
          </cell>
          <cell r="K21">
            <v>0</v>
          </cell>
          <cell r="AA21" t="str">
            <v>Cojean Gwendal</v>
          </cell>
        </row>
        <row r="22">
          <cell r="AA22" t="str">
            <v>Simon Titouan</v>
          </cell>
        </row>
        <row r="23">
          <cell r="B23" t="str">
            <v>Cojean Gwendal</v>
          </cell>
          <cell r="AA23" t="str">
            <v>Zaragoza Quentin</v>
          </cell>
        </row>
        <row r="24">
          <cell r="B24" t="str">
            <v>Simon Titouan</v>
          </cell>
          <cell r="AA24" t="str">
            <v>Sail Rémy</v>
          </cell>
        </row>
        <row r="25">
          <cell r="B25" t="str">
            <v>Zaragoza Quentin</v>
          </cell>
        </row>
        <row r="26">
          <cell r="B26" t="str">
            <v>Sail Rémy</v>
          </cell>
          <cell r="AA26" t="str">
            <v>Ayoul-Bellot Thais</v>
          </cell>
        </row>
        <row r="27">
          <cell r="B27" t="str">
            <v>Ayoul-Bellot Thais</v>
          </cell>
          <cell r="AA27" t="str">
            <v>Morin Quentin</v>
          </cell>
        </row>
        <row r="28">
          <cell r="B28" t="str">
            <v>Morin Quentin</v>
          </cell>
          <cell r="AA28" t="str">
            <v>Le Garnec Sacha</v>
          </cell>
        </row>
        <row r="29">
          <cell r="B29" t="str">
            <v>Le Garnec Sacha</v>
          </cell>
          <cell r="AA29" t="str">
            <v>Roszak Martin</v>
          </cell>
        </row>
        <row r="30">
          <cell r="B30" t="str">
            <v>Roszak Martin</v>
          </cell>
          <cell r="AA30" t="str">
            <v>Morin Léa</v>
          </cell>
        </row>
        <row r="31">
          <cell r="B31" t="str">
            <v>Morin Léa</v>
          </cell>
          <cell r="AA31" t="str">
            <v>Jugé Léana</v>
          </cell>
        </row>
        <row r="32">
          <cell r="B32" t="str">
            <v>Jugé Léana</v>
          </cell>
          <cell r="AA32" t="str">
            <v>Allano Antoine</v>
          </cell>
        </row>
        <row r="33">
          <cell r="B33" t="str">
            <v>Allano Antoine</v>
          </cell>
          <cell r="AA33" t="str">
            <v>Lorho Mathieu</v>
          </cell>
        </row>
        <row r="34">
          <cell r="B34" t="str">
            <v>Lorho Mathieu</v>
          </cell>
          <cell r="AA34" t="str">
            <v>Cojean Youen</v>
          </cell>
        </row>
        <row r="35">
          <cell r="B35" t="str">
            <v>Cojean Youen</v>
          </cell>
          <cell r="AA35" t="str">
            <v>Le Cam Corentin</v>
          </cell>
        </row>
        <row r="36">
          <cell r="B36" t="str">
            <v>Le Cam Corentin</v>
          </cell>
          <cell r="AA36" t="str">
            <v>Le Cam Alan</v>
          </cell>
        </row>
        <row r="37">
          <cell r="B37" t="str">
            <v>Le Cam Alan</v>
          </cell>
          <cell r="AA37" t="str">
            <v/>
          </cell>
        </row>
        <row r="38">
          <cell r="B38" t="str">
            <v/>
          </cell>
          <cell r="AA38" t="str">
            <v/>
          </cell>
        </row>
        <row r="39">
          <cell r="B39" t="str">
            <v/>
          </cell>
          <cell r="AA39" t="str">
            <v/>
          </cell>
        </row>
        <row r="40">
          <cell r="B40" t="str">
            <v/>
          </cell>
          <cell r="AA40" t="str">
            <v/>
          </cell>
        </row>
        <row r="56">
          <cell r="J56">
            <v>0</v>
          </cell>
          <cell r="K56">
            <v>0</v>
          </cell>
          <cell r="AG56">
            <v>0</v>
          </cell>
          <cell r="AH56">
            <v>0</v>
          </cell>
        </row>
        <row r="57">
          <cell r="J57">
            <v>0</v>
          </cell>
          <cell r="K57">
            <v>0</v>
          </cell>
          <cell r="AG57">
            <v>0</v>
          </cell>
          <cell r="AH57">
            <v>0</v>
          </cell>
        </row>
        <row r="58">
          <cell r="J58">
            <v>0</v>
          </cell>
          <cell r="K58">
            <v>0</v>
          </cell>
          <cell r="AG58">
            <v>0</v>
          </cell>
          <cell r="AH58">
            <v>0</v>
          </cell>
        </row>
        <row r="59">
          <cell r="J59">
            <v>0</v>
          </cell>
          <cell r="K59">
            <v>0</v>
          </cell>
          <cell r="AG59">
            <v>0</v>
          </cell>
          <cell r="AH59">
            <v>0</v>
          </cell>
        </row>
        <row r="60">
          <cell r="J60">
            <v>0</v>
          </cell>
          <cell r="K60">
            <v>0</v>
          </cell>
          <cell r="AG60">
            <v>0</v>
          </cell>
          <cell r="AH60">
            <v>0</v>
          </cell>
        </row>
        <row r="61">
          <cell r="J61">
            <v>0</v>
          </cell>
          <cell r="K61">
            <v>0</v>
          </cell>
          <cell r="AG61">
            <v>0</v>
          </cell>
          <cell r="AH61">
            <v>0</v>
          </cell>
        </row>
        <row r="62">
          <cell r="B62" t="str">
            <v>Doubles</v>
          </cell>
          <cell r="C62" t="str">
            <v/>
          </cell>
          <cell r="D62" t="str">
            <v/>
          </cell>
          <cell r="F62" t="str">
            <v/>
          </cell>
          <cell r="G62" t="str">
            <v/>
          </cell>
          <cell r="H62" t="str">
            <v/>
          </cell>
          <cell r="I62" t="str">
            <v/>
          </cell>
          <cell r="J62">
            <v>0</v>
          </cell>
          <cell r="K62">
            <v>0</v>
          </cell>
          <cell r="AG62">
            <v>0</v>
          </cell>
          <cell r="AH62">
            <v>0</v>
          </cell>
        </row>
        <row r="63">
          <cell r="AA63" t="str">
            <v>Doubles</v>
          </cell>
          <cell r="AB63" t="str">
            <v/>
          </cell>
          <cell r="AC63" t="str">
            <v/>
          </cell>
          <cell r="AD63" t="str">
            <v/>
          </cell>
          <cell r="AE63" t="str">
            <v/>
          </cell>
          <cell r="AF63" t="str">
            <v/>
          </cell>
          <cell r="AG63">
            <v>0</v>
          </cell>
          <cell r="AH63">
            <v>0</v>
          </cell>
        </row>
        <row r="64">
          <cell r="B64" t="str">
            <v>Cojean Gwendal</v>
          </cell>
          <cell r="AB64" t="str">
            <v xml:space="preserve">
</v>
          </cell>
        </row>
        <row r="65">
          <cell r="B65" t="str">
            <v>Simon Titouan</v>
          </cell>
          <cell r="AA65" t="str">
            <v>Cojean Gwendal</v>
          </cell>
        </row>
        <row r="66">
          <cell r="B66" t="str">
            <v>Zaragoza Quentin</v>
          </cell>
          <cell r="AA66" t="str">
            <v>Simon Titouan</v>
          </cell>
        </row>
        <row r="67">
          <cell r="B67" t="str">
            <v>Sail Rémy</v>
          </cell>
          <cell r="AA67" t="str">
            <v>Zaragoza Quentin</v>
          </cell>
        </row>
        <row r="68">
          <cell r="B68" t="str">
            <v>Ayoul-Bellot Thais</v>
          </cell>
          <cell r="AA68" t="str">
            <v>Sail Rémy</v>
          </cell>
        </row>
        <row r="69">
          <cell r="B69" t="str">
            <v>Morin Quentin</v>
          </cell>
          <cell r="AA69" t="str">
            <v>Ayoul-Bellot Thais</v>
          </cell>
        </row>
        <row r="70">
          <cell r="B70" t="str">
            <v>Le Garnec Sacha</v>
          </cell>
          <cell r="AA70" t="str">
            <v>Morin Quentin</v>
          </cell>
        </row>
        <row r="71">
          <cell r="B71" t="str">
            <v>Roszak Martin</v>
          </cell>
          <cell r="AA71" t="str">
            <v>Le Garnec Sacha</v>
          </cell>
        </row>
        <row r="72">
          <cell r="B72" t="str">
            <v>Morin Léa</v>
          </cell>
          <cell r="AA72" t="str">
            <v>Roszak Martin</v>
          </cell>
        </row>
        <row r="73">
          <cell r="B73" t="str">
            <v>Jugé Léana</v>
          </cell>
          <cell r="AA73" t="str">
            <v>Morin Léa</v>
          </cell>
        </row>
        <row r="74">
          <cell r="B74" t="str">
            <v>Allano Antoine</v>
          </cell>
          <cell r="AA74" t="str">
            <v>Jugé Léana</v>
          </cell>
        </row>
        <row r="75">
          <cell r="B75" t="str">
            <v>Lorho Mathieu</v>
          </cell>
          <cell r="AA75" t="str">
            <v>Allano Antoine</v>
          </cell>
        </row>
        <row r="76">
          <cell r="B76" t="str">
            <v>Cojean Youen</v>
          </cell>
          <cell r="AA76" t="str">
            <v>Lorho Mathieu</v>
          </cell>
        </row>
        <row r="77">
          <cell r="B77" t="str">
            <v>Le Cam Corentin</v>
          </cell>
          <cell r="AA77" t="str">
            <v>Cojean Youen</v>
          </cell>
        </row>
        <row r="78">
          <cell r="B78" t="str">
            <v>Le Cam Alan</v>
          </cell>
          <cell r="AA78" t="str">
            <v>Le Cam Corentin</v>
          </cell>
        </row>
        <row r="79">
          <cell r="B79" t="str">
            <v/>
          </cell>
          <cell r="AA79" t="str">
            <v>Le Cam Alan</v>
          </cell>
        </row>
        <row r="80">
          <cell r="B80" t="str">
            <v/>
          </cell>
          <cell r="AA80" t="str">
            <v/>
          </cell>
        </row>
        <row r="81">
          <cell r="B81" t="str">
            <v/>
          </cell>
          <cell r="AA81" t="str">
            <v/>
          </cell>
        </row>
        <row r="82">
          <cell r="B82" t="str">
            <v/>
          </cell>
          <cell r="AA82" t="str">
            <v/>
          </cell>
        </row>
        <row r="83">
          <cell r="B83" t="str">
            <v/>
          </cell>
          <cell r="AA83" t="str">
            <v/>
          </cell>
        </row>
        <row r="84">
          <cell r="B84">
            <v>0</v>
          </cell>
          <cell r="AA84" t="str">
            <v/>
          </cell>
        </row>
        <row r="85">
          <cell r="B85">
            <v>0</v>
          </cell>
          <cell r="AA85">
            <v>1</v>
          </cell>
          <cell r="AB85">
            <v>2</v>
          </cell>
          <cell r="AC85">
            <v>3</v>
          </cell>
          <cell r="AD85">
            <v>4</v>
          </cell>
          <cell r="AE85">
            <v>5</v>
          </cell>
          <cell r="AF85">
            <v>6</v>
          </cell>
          <cell r="AG85">
            <v>7</v>
          </cell>
          <cell r="AH85" t="str">
            <v>pg</v>
          </cell>
        </row>
        <row r="87">
          <cell r="AA87">
            <v>3</v>
          </cell>
          <cell r="AB87">
            <v>1</v>
          </cell>
          <cell r="AC87">
            <v>3</v>
          </cell>
          <cell r="AD87">
            <v>10</v>
          </cell>
          <cell r="AE87">
            <v>0</v>
          </cell>
          <cell r="AF87">
            <v>0</v>
          </cell>
          <cell r="AG87">
            <v>0</v>
          </cell>
          <cell r="AH87">
            <v>17</v>
          </cell>
          <cell r="AP87">
            <v>0</v>
          </cell>
          <cell r="AQ87">
            <v>0</v>
          </cell>
        </row>
        <row r="88">
          <cell r="AA88">
            <v>3</v>
          </cell>
          <cell r="AB88">
            <v>5</v>
          </cell>
          <cell r="AC88">
            <v>8</v>
          </cell>
          <cell r="AD88">
            <v>7</v>
          </cell>
          <cell r="AE88">
            <v>0</v>
          </cell>
          <cell r="AF88">
            <v>0</v>
          </cell>
          <cell r="AG88">
            <v>0</v>
          </cell>
          <cell r="AH88">
            <v>23</v>
          </cell>
          <cell r="AP88">
            <v>0</v>
          </cell>
          <cell r="AQ88">
            <v>0</v>
          </cell>
        </row>
        <row r="89">
          <cell r="AA89">
            <v>6</v>
          </cell>
          <cell r="AB89">
            <v>4</v>
          </cell>
          <cell r="AC89">
            <v>2</v>
          </cell>
          <cell r="AD89">
            <v>0</v>
          </cell>
          <cell r="AE89">
            <v>0</v>
          </cell>
          <cell r="AF89">
            <v>0</v>
          </cell>
          <cell r="AG89">
            <v>0</v>
          </cell>
          <cell r="AH89">
            <v>12</v>
          </cell>
          <cell r="AP89">
            <v>0</v>
          </cell>
          <cell r="AQ89">
            <v>0</v>
          </cell>
        </row>
        <row r="90">
          <cell r="AA90" t="str">
            <v>e</v>
          </cell>
          <cell r="AB90" t="str">
            <v>e</v>
          </cell>
          <cell r="AC90" t="str">
            <v>e</v>
          </cell>
          <cell r="AD90" t="str">
            <v>e</v>
          </cell>
          <cell r="AE90" t="str">
            <v>e</v>
          </cell>
          <cell r="AF90">
            <v>0</v>
          </cell>
          <cell r="AG90">
            <v>0</v>
          </cell>
          <cell r="AH90">
            <v>0</v>
          </cell>
          <cell r="AP90">
            <v>0</v>
          </cell>
          <cell r="AQ90">
            <v>0</v>
          </cell>
        </row>
        <row r="91">
          <cell r="AA91">
            <v>7</v>
          </cell>
          <cell r="AB91">
            <v>6</v>
          </cell>
          <cell r="AC91">
            <v>3</v>
          </cell>
          <cell r="AD91">
            <v>3</v>
          </cell>
          <cell r="AE91">
            <v>6</v>
          </cell>
          <cell r="AF91">
            <v>0</v>
          </cell>
          <cell r="AG91">
            <v>0</v>
          </cell>
          <cell r="AH91">
            <v>25</v>
          </cell>
          <cell r="AP91">
            <v>0</v>
          </cell>
          <cell r="AQ91">
            <v>0</v>
          </cell>
        </row>
        <row r="92">
          <cell r="AP92">
            <v>0</v>
          </cell>
          <cell r="AQ92">
            <v>0</v>
          </cell>
        </row>
        <row r="93">
          <cell r="AP93">
            <v>0</v>
          </cell>
          <cell r="AQ93">
            <v>0</v>
          </cell>
        </row>
        <row r="94">
          <cell r="AP94">
            <v>0</v>
          </cell>
          <cell r="AQ94">
            <v>0</v>
          </cell>
        </row>
        <row r="105">
          <cell r="AP105">
            <v>0</v>
          </cell>
          <cell r="AQ105">
            <v>0</v>
          </cell>
        </row>
        <row r="106">
          <cell r="AP106">
            <v>0</v>
          </cell>
          <cell r="AQ106">
            <v>0</v>
          </cell>
        </row>
        <row r="107">
          <cell r="AP107">
            <v>0</v>
          </cell>
          <cell r="AQ107">
            <v>0</v>
          </cell>
        </row>
        <row r="108">
          <cell r="AP108">
            <v>0</v>
          </cell>
          <cell r="AQ108">
            <v>0</v>
          </cell>
        </row>
        <row r="109">
          <cell r="AP109">
            <v>0</v>
          </cell>
          <cell r="AQ109">
            <v>0</v>
          </cell>
        </row>
        <row r="110">
          <cell r="AP110">
            <v>0</v>
          </cell>
          <cell r="AQ110">
            <v>0</v>
          </cell>
        </row>
        <row r="111">
          <cell r="AP111">
            <v>0</v>
          </cell>
          <cell r="AQ111">
            <v>0</v>
          </cell>
        </row>
        <row r="112">
          <cell r="AP112">
            <v>0</v>
          </cell>
          <cell r="AQ112">
            <v>0</v>
          </cell>
        </row>
      </sheetData>
      <sheetData sheetId="24"/>
      <sheetData sheetId="25">
        <row r="90">
          <cell r="G90" t="e">
            <v>#N/A</v>
          </cell>
          <cell r="I90">
            <v>0</v>
          </cell>
        </row>
        <row r="91">
          <cell r="G91" t="e">
            <v>#N/A</v>
          </cell>
          <cell r="I91">
            <v>0</v>
          </cell>
        </row>
        <row r="92">
          <cell r="G92" t="e">
            <v>#N/A</v>
          </cell>
          <cell r="I92">
            <v>0</v>
          </cell>
        </row>
        <row r="93">
          <cell r="G93" t="e">
            <v>#N/A</v>
          </cell>
          <cell r="I93">
            <v>0</v>
          </cell>
        </row>
        <row r="94">
          <cell r="G94" t="e">
            <v>#N/A</v>
          </cell>
          <cell r="I94">
            <v>0</v>
          </cell>
        </row>
        <row r="95">
          <cell r="G95" t="e">
            <v>#N/A</v>
          </cell>
          <cell r="I95">
            <v>0</v>
          </cell>
        </row>
        <row r="96">
          <cell r="G96" t="e">
            <v>#N/A</v>
          </cell>
          <cell r="I96">
            <v>0</v>
          </cell>
        </row>
        <row r="97">
          <cell r="G97" t="str">
            <v>Déf 10 - 4</v>
          </cell>
          <cell r="I97" t="str">
            <v>GOLFETT PLOEREN 4</v>
          </cell>
        </row>
        <row r="98">
          <cell r="G98" t="str">
            <v>Déf 14 - 0</v>
          </cell>
          <cell r="I98" t="str">
            <v>TT PAYS LOCMINE 4</v>
          </cell>
        </row>
        <row r="99">
          <cell r="G99" t="str">
            <v>Déf 10 - 4</v>
          </cell>
          <cell r="I99" t="str">
            <v>CTT MENIMUR 7</v>
          </cell>
        </row>
        <row r="100">
          <cell r="G100" t="str">
            <v>Vict 8 - 6</v>
          </cell>
          <cell r="I100" t="str">
            <v>ES PLESCOP TT 7</v>
          </cell>
        </row>
        <row r="101">
          <cell r="G101" t="str">
            <v/>
          </cell>
          <cell r="I101" t="str">
            <v>Exempt</v>
          </cell>
        </row>
        <row r="102">
          <cell r="G102" t="str">
            <v>Nul 7 - 7</v>
          </cell>
          <cell r="I102" t="str">
            <v>AS ST PHILIBERT 3</v>
          </cell>
        </row>
        <row r="103">
          <cell r="G103" t="str">
            <v>Déf 10 - 4</v>
          </cell>
          <cell r="I103" t="str">
            <v>PLUNERET/MERIAD 4</v>
          </cell>
        </row>
      </sheetData>
      <sheetData sheetId="26"/>
      <sheetData sheetId="27">
        <row r="4">
          <cell r="A4" t="str">
            <v>28 ans et 1778 pts de moy.</v>
          </cell>
          <cell r="C4" t="str">
            <v>20 ans et 1258 pts de moy.</v>
          </cell>
          <cell r="F4" t="str">
            <v>28 ans et 1037 pts de moy.</v>
          </cell>
          <cell r="H4" t="str">
            <v>44 ans et 943 pts de moy.</v>
          </cell>
          <cell r="J4" t="str">
            <v>32 ans et 805 pts de moy.</v>
          </cell>
          <cell r="L4" t="str">
            <v>41 ans et 819 pts de moy.</v>
          </cell>
          <cell r="N4" t="str">
            <v>31 ans et 759 pts de moy.</v>
          </cell>
          <cell r="P4" t="str">
            <v>39 ans et 556 pts de moy.</v>
          </cell>
        </row>
        <row r="14">
          <cell r="A14" t="str">
            <v>Muzillac TT 1</v>
          </cell>
          <cell r="B14" t="str">
            <v>MTT 1:</v>
          </cell>
          <cell r="C14" t="str">
            <v>R3</v>
          </cell>
          <cell r="D14" t="str">
            <v>R2</v>
          </cell>
          <cell r="F14" t="str">
            <v>C</v>
          </cell>
          <cell r="N14">
            <v>3</v>
          </cell>
        </row>
        <row r="15">
          <cell r="A15" t="str">
            <v>Muzillac TT 2</v>
          </cell>
          <cell r="B15" t="str">
            <v>MTT 2:</v>
          </cell>
          <cell r="C15" t="str">
            <v>D2</v>
          </cell>
          <cell r="D15" t="str">
            <v>D1</v>
          </cell>
          <cell r="F15" t="str">
            <v>C</v>
          </cell>
          <cell r="N15">
            <v>3</v>
          </cell>
        </row>
        <row r="16">
          <cell r="A16" t="str">
            <v>Muzillac TT 3</v>
          </cell>
          <cell r="B16" t="str">
            <v>MTT 3:</v>
          </cell>
          <cell r="C16" t="str">
            <v>D2</v>
          </cell>
          <cell r="D16" t="str">
            <v>D2</v>
          </cell>
          <cell r="F16" t="str">
            <v>E</v>
          </cell>
          <cell r="N16">
            <v>3</v>
          </cell>
        </row>
        <row r="17">
          <cell r="A17" t="str">
            <v>Muzillac TT 4</v>
          </cell>
          <cell r="B17" t="str">
            <v>MTT 4:</v>
          </cell>
          <cell r="C17" t="str">
            <v>D2</v>
          </cell>
          <cell r="D17" t="str">
            <v>D2</v>
          </cell>
          <cell r="F17" t="str">
            <v>D</v>
          </cell>
          <cell r="N17">
            <v>3</v>
          </cell>
        </row>
        <row r="18">
          <cell r="A18" t="str">
            <v>Muzillac TT 5</v>
          </cell>
          <cell r="B18" t="str">
            <v>MTT 5:</v>
          </cell>
          <cell r="C18" t="str">
            <v>D3</v>
          </cell>
          <cell r="D18" t="str">
            <v>D3</v>
          </cell>
          <cell r="F18" t="str">
            <v>E</v>
          </cell>
          <cell r="N18">
            <v>3</v>
          </cell>
        </row>
        <row r="19">
          <cell r="A19" t="str">
            <v>Muzillac TT 6</v>
          </cell>
          <cell r="B19" t="str">
            <v>MTT 6:</v>
          </cell>
          <cell r="C19" t="str">
            <v>D4</v>
          </cell>
          <cell r="D19" t="str">
            <v>D3</v>
          </cell>
          <cell r="F19" t="str">
            <v>G</v>
          </cell>
          <cell r="N19">
            <v>3</v>
          </cell>
        </row>
        <row r="20">
          <cell r="A20" t="str">
            <v>Muzillac TT 7</v>
          </cell>
          <cell r="B20" t="str">
            <v>MTT 7:</v>
          </cell>
          <cell r="C20" t="str">
            <v>D4</v>
          </cell>
          <cell r="D20" t="str">
            <v>D3</v>
          </cell>
          <cell r="F20" t="str">
            <v>F</v>
          </cell>
          <cell r="N20">
            <v>3</v>
          </cell>
        </row>
        <row r="21">
          <cell r="A21" t="str">
            <v>Muzillac TT 8</v>
          </cell>
          <cell r="B21" t="str">
            <v>MTT 8:</v>
          </cell>
          <cell r="C21" t="str">
            <v>D4</v>
          </cell>
          <cell r="D21" t="str">
            <v>D4</v>
          </cell>
          <cell r="F21" t="str">
            <v>G</v>
          </cell>
        </row>
        <row r="25">
          <cell r="A25" t="str">
            <v>équipes jeunes:</v>
          </cell>
          <cell r="N25">
            <v>3</v>
          </cell>
        </row>
        <row r="26">
          <cell r="A26" t="str">
            <v>Muzillac TT 1</v>
          </cell>
          <cell r="B26" t="str">
            <v>MTT 1:</v>
          </cell>
          <cell r="C26" t="str">
            <v>cadet</v>
          </cell>
        </row>
        <row r="27">
          <cell r="A27" t="str">
            <v/>
          </cell>
        </row>
        <row r="28">
          <cell r="A28" t="str">
            <v/>
          </cell>
        </row>
        <row r="37">
          <cell r="A37" t="str">
            <v>R1</v>
          </cell>
        </row>
        <row r="38">
          <cell r="A38" t="str">
            <v>R2</v>
          </cell>
        </row>
        <row r="39">
          <cell r="A39" t="str">
            <v>R3</v>
          </cell>
        </row>
        <row r="40">
          <cell r="A40" t="str">
            <v>Pré</v>
          </cell>
        </row>
        <row r="41">
          <cell r="A41" t="str">
            <v>D1</v>
          </cell>
        </row>
        <row r="42">
          <cell r="A42" t="str">
            <v>D2</v>
          </cell>
        </row>
        <row r="43">
          <cell r="A43" t="str">
            <v>D3</v>
          </cell>
        </row>
        <row r="44">
          <cell r="A44" t="str">
            <v>D4</v>
          </cell>
        </row>
        <row r="45">
          <cell r="A45" t="str">
            <v>cadet</v>
          </cell>
        </row>
        <row r="46">
          <cell r="A46" t="str">
            <v>minime</v>
          </cell>
        </row>
        <row r="47">
          <cell r="A47" t="str">
            <v>junior</v>
          </cell>
        </row>
      </sheetData>
      <sheetData sheetId="28">
        <row r="2">
          <cell r="BO2" t="str">
            <v>MTT 8:  D4     G</v>
          </cell>
        </row>
        <row r="3">
          <cell r="R3">
            <v>0</v>
          </cell>
          <cell r="U3">
            <v>0</v>
          </cell>
          <cell r="V3">
            <v>7.0000930407157789</v>
          </cell>
          <cell r="W3">
            <v>0</v>
          </cell>
          <cell r="X3">
            <v>0</v>
          </cell>
          <cell r="Y3">
            <v>0</v>
          </cell>
          <cell r="Z3">
            <v>7</v>
          </cell>
          <cell r="AA3">
            <v>0</v>
          </cell>
          <cell r="AB3">
            <v>0</v>
          </cell>
          <cell r="AT3">
            <v>0</v>
          </cell>
          <cell r="AW3" t="str">
            <v>TT PAYS LOCMINE 4</v>
          </cell>
          <cell r="AX3">
            <v>16.000073469798888</v>
          </cell>
          <cell r="AY3">
            <v>6</v>
          </cell>
          <cell r="AZ3">
            <v>5</v>
          </cell>
          <cell r="BA3">
            <v>0</v>
          </cell>
          <cell r="BB3">
            <v>1</v>
          </cell>
          <cell r="BC3">
            <v>62</v>
          </cell>
          <cell r="BD3">
            <v>22</v>
          </cell>
        </row>
        <row r="4">
          <cell r="R4">
            <v>0</v>
          </cell>
          <cell r="U4">
            <v>0</v>
          </cell>
          <cell r="V4">
            <v>7.0000819938185277</v>
          </cell>
          <cell r="W4">
            <v>0</v>
          </cell>
          <cell r="X4">
            <v>0</v>
          </cell>
          <cell r="Y4">
            <v>0</v>
          </cell>
          <cell r="Z4">
            <v>7</v>
          </cell>
          <cell r="AA4">
            <v>0</v>
          </cell>
          <cell r="AB4">
            <v>0</v>
          </cell>
          <cell r="AT4">
            <v>0</v>
          </cell>
          <cell r="AW4" t="str">
            <v>PLUNERET/MERIAD 4</v>
          </cell>
          <cell r="AX4">
            <v>16.000012515850084</v>
          </cell>
          <cell r="AY4">
            <v>6</v>
          </cell>
          <cell r="AZ4">
            <v>5</v>
          </cell>
          <cell r="BA4">
            <v>0</v>
          </cell>
          <cell r="BB4">
            <v>1</v>
          </cell>
          <cell r="BC4">
            <v>62</v>
          </cell>
          <cell r="BD4">
            <v>22</v>
          </cell>
        </row>
        <row r="5">
          <cell r="R5">
            <v>0</v>
          </cell>
          <cell r="U5">
            <v>0</v>
          </cell>
          <cell r="V5">
            <v>7.0000741183513684</v>
          </cell>
          <cell r="W5">
            <v>0</v>
          </cell>
          <cell r="X5">
            <v>0</v>
          </cell>
          <cell r="Y5">
            <v>0</v>
          </cell>
          <cell r="Z5">
            <v>7</v>
          </cell>
          <cell r="AA5">
            <v>0</v>
          </cell>
          <cell r="AB5">
            <v>0</v>
          </cell>
          <cell r="AT5">
            <v>0</v>
          </cell>
          <cell r="AW5" t="str">
            <v>ES PLESCOP TT 7</v>
          </cell>
          <cell r="AX5">
            <v>13.0000019872301</v>
          </cell>
          <cell r="AY5">
            <v>6</v>
          </cell>
          <cell r="AZ5">
            <v>3</v>
          </cell>
          <cell r="BA5">
            <v>1</v>
          </cell>
          <cell r="BB5">
            <v>2</v>
          </cell>
          <cell r="BC5">
            <v>46</v>
          </cell>
          <cell r="BD5">
            <v>38</v>
          </cell>
        </row>
        <row r="6">
          <cell r="R6">
            <v>0</v>
          </cell>
          <cell r="U6">
            <v>0</v>
          </cell>
          <cell r="V6">
            <v>7.000065273554088</v>
          </cell>
          <cell r="W6">
            <v>0</v>
          </cell>
          <cell r="X6">
            <v>0</v>
          </cell>
          <cell r="Y6">
            <v>0</v>
          </cell>
          <cell r="Z6">
            <v>7</v>
          </cell>
          <cell r="AA6">
            <v>0</v>
          </cell>
          <cell r="AB6">
            <v>0</v>
          </cell>
          <cell r="AT6">
            <v>0</v>
          </cell>
          <cell r="AW6" t="str">
            <v>GOLFETT PLOEREN 4</v>
          </cell>
          <cell r="AX6">
            <v>12.000098908508861</v>
          </cell>
          <cell r="AY6">
            <v>6</v>
          </cell>
          <cell r="AZ6">
            <v>3</v>
          </cell>
          <cell r="BA6">
            <v>0</v>
          </cell>
          <cell r="BB6">
            <v>3</v>
          </cell>
          <cell r="BC6">
            <v>36</v>
          </cell>
          <cell r="BD6">
            <v>48</v>
          </cell>
        </row>
        <row r="7">
          <cell r="R7">
            <v>0</v>
          </cell>
          <cell r="U7">
            <v>0</v>
          </cell>
          <cell r="V7">
            <v>7.0000386552122551</v>
          </cell>
          <cell r="W7">
            <v>0</v>
          </cell>
          <cell r="X7">
            <v>0</v>
          </cell>
          <cell r="Y7">
            <v>0</v>
          </cell>
          <cell r="Z7">
            <v>7</v>
          </cell>
          <cell r="AA7">
            <v>0</v>
          </cell>
          <cell r="AB7">
            <v>0</v>
          </cell>
          <cell r="AT7">
            <v>0</v>
          </cell>
          <cell r="AW7" t="str">
            <v>CTT MENIMUR 7</v>
          </cell>
          <cell r="AX7">
            <v>11.000030322107373</v>
          </cell>
          <cell r="AY7">
            <v>6</v>
          </cell>
          <cell r="AZ7">
            <v>2</v>
          </cell>
          <cell r="BA7">
            <v>1</v>
          </cell>
          <cell r="BB7">
            <v>3</v>
          </cell>
          <cell r="BC7">
            <v>40</v>
          </cell>
          <cell r="BD7">
            <v>44</v>
          </cell>
        </row>
        <row r="8">
          <cell r="R8">
            <v>0</v>
          </cell>
          <cell r="U8">
            <v>0</v>
          </cell>
          <cell r="V8">
            <v>7.000034953570097</v>
          </cell>
          <cell r="W8">
            <v>0</v>
          </cell>
          <cell r="X8">
            <v>0</v>
          </cell>
          <cell r="Y8">
            <v>0</v>
          </cell>
          <cell r="Z8">
            <v>7</v>
          </cell>
          <cell r="AA8">
            <v>0</v>
          </cell>
          <cell r="AB8">
            <v>0</v>
          </cell>
          <cell r="AT8">
            <v>6</v>
          </cell>
          <cell r="AW8" t="str">
            <v>MUZILLAC TT 8</v>
          </cell>
          <cell r="AX8">
            <v>9.0000312649712857</v>
          </cell>
          <cell r="AY8">
            <v>6</v>
          </cell>
          <cell r="AZ8">
            <v>1</v>
          </cell>
          <cell r="BA8">
            <v>1</v>
          </cell>
          <cell r="BB8">
            <v>4</v>
          </cell>
          <cell r="BC8">
            <v>27</v>
          </cell>
          <cell r="BD8">
            <v>57</v>
          </cell>
        </row>
        <row r="9">
          <cell r="R9">
            <v>0</v>
          </cell>
          <cell r="U9">
            <v>0</v>
          </cell>
          <cell r="V9">
            <v>7.0000254512925899</v>
          </cell>
          <cell r="W9">
            <v>0</v>
          </cell>
          <cell r="X9">
            <v>0</v>
          </cell>
          <cell r="Y9">
            <v>0</v>
          </cell>
          <cell r="Z9">
            <v>7</v>
          </cell>
          <cell r="AA9">
            <v>0</v>
          </cell>
          <cell r="AB9">
            <v>0</v>
          </cell>
          <cell r="AT9">
            <v>0</v>
          </cell>
          <cell r="AW9" t="str">
            <v>AS ST PHILIBERT 3</v>
          </cell>
          <cell r="AX9">
            <v>7.0000225494893424</v>
          </cell>
          <cell r="AY9">
            <v>6</v>
          </cell>
          <cell r="AZ9">
            <v>0</v>
          </cell>
          <cell r="BA9">
            <v>1</v>
          </cell>
          <cell r="BB9">
            <v>5</v>
          </cell>
          <cell r="BC9">
            <v>21</v>
          </cell>
          <cell r="BD9">
            <v>63</v>
          </cell>
        </row>
        <row r="10">
          <cell r="R10">
            <v>0</v>
          </cell>
          <cell r="U10">
            <v>0</v>
          </cell>
          <cell r="V10">
            <v>7.0000023308984716</v>
          </cell>
          <cell r="W10">
            <v>0</v>
          </cell>
          <cell r="X10">
            <v>0</v>
          </cell>
          <cell r="Y10">
            <v>0</v>
          </cell>
          <cell r="Z10">
            <v>7</v>
          </cell>
          <cell r="AA10">
            <v>0</v>
          </cell>
          <cell r="AB10">
            <v>0</v>
          </cell>
          <cell r="AT10">
            <v>0</v>
          </cell>
          <cell r="AW10" t="str">
            <v>Exempt</v>
          </cell>
          <cell r="AX10">
            <v>5.1130897849606051E-5</v>
          </cell>
          <cell r="AY10">
            <v>0</v>
          </cell>
          <cell r="AZ10">
            <v>0</v>
          </cell>
          <cell r="BA10">
            <v>0</v>
          </cell>
          <cell r="BB10">
            <v>0</v>
          </cell>
          <cell r="BC10">
            <v>0</v>
          </cell>
          <cell r="BD10">
            <v>0</v>
          </cell>
        </row>
        <row r="12">
          <cell r="R12">
            <v>0</v>
          </cell>
          <cell r="AT12">
            <v>0</v>
          </cell>
        </row>
        <row r="13">
          <cell r="R13">
            <v>0</v>
          </cell>
          <cell r="AT13">
            <v>0</v>
          </cell>
        </row>
        <row r="14">
          <cell r="R14">
            <v>0</v>
          </cell>
          <cell r="AT14">
            <v>0</v>
          </cell>
        </row>
        <row r="15">
          <cell r="R15">
            <v>0</v>
          </cell>
          <cell r="AT15">
            <v>0</v>
          </cell>
        </row>
        <row r="16">
          <cell r="R16">
            <v>0</v>
          </cell>
          <cell r="AT16">
            <v>0</v>
          </cell>
        </row>
        <row r="17">
          <cell r="R17">
            <v>0</v>
          </cell>
          <cell r="AT17">
            <v>0</v>
          </cell>
        </row>
        <row r="18">
          <cell r="R18">
            <v>0</v>
          </cell>
          <cell r="AT18">
            <v>0</v>
          </cell>
        </row>
        <row r="19">
          <cell r="R19">
            <v>0</v>
          </cell>
          <cell r="AT19">
            <v>0</v>
          </cell>
        </row>
        <row r="21">
          <cell r="R21">
            <v>0</v>
          </cell>
          <cell r="AT21">
            <v>0</v>
          </cell>
        </row>
        <row r="22">
          <cell r="R22">
            <v>0</v>
          </cell>
          <cell r="AT22">
            <v>0</v>
          </cell>
        </row>
        <row r="23">
          <cell r="R23">
            <v>0</v>
          </cell>
          <cell r="AT23">
            <v>0</v>
          </cell>
        </row>
        <row r="24">
          <cell r="R24">
            <v>0</v>
          </cell>
          <cell r="AT24">
            <v>0</v>
          </cell>
        </row>
        <row r="25">
          <cell r="R25">
            <v>0</v>
          </cell>
          <cell r="AT25">
            <v>0</v>
          </cell>
        </row>
        <row r="26">
          <cell r="R26">
            <v>0</v>
          </cell>
          <cell r="AT26">
            <v>0</v>
          </cell>
        </row>
        <row r="27">
          <cell r="R27">
            <v>0</v>
          </cell>
          <cell r="AT27">
            <v>0</v>
          </cell>
        </row>
        <row r="28">
          <cell r="R28">
            <v>0</v>
          </cell>
          <cell r="AT28">
            <v>0</v>
          </cell>
        </row>
        <row r="30">
          <cell r="R30">
            <v>0</v>
          </cell>
          <cell r="AT30">
            <v>0</v>
          </cell>
        </row>
        <row r="31">
          <cell r="R31">
            <v>0</v>
          </cell>
          <cell r="AT31">
            <v>0</v>
          </cell>
        </row>
        <row r="32">
          <cell r="R32">
            <v>0</v>
          </cell>
          <cell r="AT32">
            <v>0</v>
          </cell>
        </row>
        <row r="33">
          <cell r="R33">
            <v>0</v>
          </cell>
          <cell r="AT33">
            <v>0</v>
          </cell>
        </row>
        <row r="34">
          <cell r="R34">
            <v>0</v>
          </cell>
          <cell r="AT34">
            <v>0</v>
          </cell>
        </row>
        <row r="35">
          <cell r="R35">
            <v>0</v>
          </cell>
          <cell r="AT35">
            <v>0</v>
          </cell>
        </row>
        <row r="36">
          <cell r="R36">
            <v>0</v>
          </cell>
          <cell r="AT36">
            <v>0</v>
          </cell>
        </row>
        <row r="37">
          <cell r="R37">
            <v>0</v>
          </cell>
          <cell r="AT37">
            <v>0</v>
          </cell>
        </row>
        <row r="39">
          <cell r="R39">
            <v>0</v>
          </cell>
          <cell r="AT39">
            <v>0</v>
          </cell>
        </row>
        <row r="40">
          <cell r="R40">
            <v>0</v>
          </cell>
          <cell r="AT40">
            <v>0</v>
          </cell>
        </row>
        <row r="41">
          <cell r="R41">
            <v>0</v>
          </cell>
          <cell r="AT41">
            <v>0</v>
          </cell>
        </row>
        <row r="42">
          <cell r="R42">
            <v>0</v>
          </cell>
          <cell r="AT42">
            <v>0</v>
          </cell>
        </row>
        <row r="43">
          <cell r="R43">
            <v>0</v>
          </cell>
          <cell r="AT43">
            <v>0</v>
          </cell>
        </row>
        <row r="44">
          <cell r="R44">
            <v>0</v>
          </cell>
          <cell r="AT44">
            <v>0</v>
          </cell>
        </row>
        <row r="45">
          <cell r="R45">
            <v>0</v>
          </cell>
          <cell r="AT45">
            <v>0</v>
          </cell>
        </row>
        <row r="46">
          <cell r="R46">
            <v>0</v>
          </cell>
          <cell r="AT46">
            <v>0</v>
          </cell>
        </row>
        <row r="48">
          <cell r="R48">
            <v>0</v>
          </cell>
          <cell r="AT48">
            <v>0</v>
          </cell>
        </row>
        <row r="49">
          <cell r="R49">
            <v>0</v>
          </cell>
          <cell r="AT49">
            <v>0</v>
          </cell>
        </row>
        <row r="50">
          <cell r="R50">
            <v>0</v>
          </cell>
          <cell r="AT50">
            <v>0</v>
          </cell>
        </row>
        <row r="51">
          <cell r="R51">
            <v>0</v>
          </cell>
          <cell r="AT51">
            <v>0</v>
          </cell>
        </row>
        <row r="52">
          <cell r="R52">
            <v>0</v>
          </cell>
          <cell r="AT52">
            <v>0</v>
          </cell>
        </row>
        <row r="53">
          <cell r="R53">
            <v>0</v>
          </cell>
          <cell r="AT53">
            <v>0</v>
          </cell>
        </row>
        <row r="54">
          <cell r="R54">
            <v>0</v>
          </cell>
          <cell r="AT54">
            <v>0</v>
          </cell>
        </row>
        <row r="55">
          <cell r="R55">
            <v>0</v>
          </cell>
          <cell r="AT55">
            <v>0</v>
          </cell>
        </row>
        <row r="57">
          <cell r="R57">
            <v>0</v>
          </cell>
          <cell r="AT57">
            <v>0</v>
          </cell>
        </row>
        <row r="58">
          <cell r="R58">
            <v>0</v>
          </cell>
          <cell r="AT58">
            <v>0</v>
          </cell>
        </row>
        <row r="59">
          <cell r="R59">
            <v>0</v>
          </cell>
          <cell r="AT59">
            <v>0</v>
          </cell>
        </row>
        <row r="60">
          <cell r="R60">
            <v>0</v>
          </cell>
          <cell r="AT60">
            <v>0</v>
          </cell>
        </row>
        <row r="61">
          <cell r="R61">
            <v>0</v>
          </cell>
          <cell r="AT61">
            <v>0</v>
          </cell>
        </row>
        <row r="62">
          <cell r="R62">
            <v>0</v>
          </cell>
          <cell r="AT62">
            <v>0</v>
          </cell>
        </row>
        <row r="63">
          <cell r="R63">
            <v>0</v>
          </cell>
          <cell r="AT63">
            <v>0</v>
          </cell>
        </row>
        <row r="64">
          <cell r="R64">
            <v>0</v>
          </cell>
          <cell r="AT64">
            <v>0</v>
          </cell>
        </row>
        <row r="66">
          <cell r="Q66">
            <v>0</v>
          </cell>
          <cell r="AS66">
            <v>1</v>
          </cell>
        </row>
        <row r="67">
          <cell r="Q67">
            <v>0</v>
          </cell>
          <cell r="AS67">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refreshError="1">
        <row r="27">
          <cell r="A27" t="str">
            <v>Allano Antoine</v>
          </cell>
          <cell r="B27" t="str">
            <v>Allano Antoinea</v>
          </cell>
          <cell r="C27" t="str">
            <v>Allano Antoineaa</v>
          </cell>
          <cell r="D27" t="str">
            <v>Ayoul-Bellot Thais</v>
          </cell>
          <cell r="E27" t="str">
            <v>Ayoul-Bellot Thaisa</v>
          </cell>
          <cell r="F27" t="str">
            <v>Ayoul-Bellot Thaisaa</v>
          </cell>
          <cell r="G27" t="str">
            <v>Baudais Luc</v>
          </cell>
          <cell r="H27" t="str">
            <v>Baudais Luca</v>
          </cell>
          <cell r="I27" t="str">
            <v>Baudais Lucaa</v>
          </cell>
          <cell r="J27" t="str">
            <v>Beyl Yann</v>
          </cell>
          <cell r="K27" t="str">
            <v>Beyl Yanna</v>
          </cell>
          <cell r="L27" t="str">
            <v>Beyl Yannaa</v>
          </cell>
          <cell r="M27" t="str">
            <v>Boulaire Emile</v>
          </cell>
          <cell r="N27" t="str">
            <v>Boulaire Emilea</v>
          </cell>
          <cell r="O27" t="str">
            <v>Boulaire Emileaa</v>
          </cell>
          <cell r="P27" t="str">
            <v>Bousseau Yannick</v>
          </cell>
          <cell r="Q27" t="str">
            <v>Bousseau Yannicka</v>
          </cell>
          <cell r="R27" t="str">
            <v>Bousseau Yannickaa</v>
          </cell>
          <cell r="S27" t="str">
            <v>Brient Jean-François</v>
          </cell>
          <cell r="T27" t="str">
            <v>Brient Jean-Françoisa</v>
          </cell>
          <cell r="U27" t="str">
            <v>Brient Jean-Françoisaa</v>
          </cell>
          <cell r="V27" t="str">
            <v>Cojean Youen</v>
          </cell>
          <cell r="W27" t="str">
            <v>Cojean Youena</v>
          </cell>
          <cell r="X27" t="str">
            <v>Cojean Youenaa</v>
          </cell>
          <cell r="Y27" t="str">
            <v>Couture Christophe</v>
          </cell>
          <cell r="Z27" t="str">
            <v>Couture Christophea</v>
          </cell>
          <cell r="AA27" t="str">
            <v>Couture Christopheaa</v>
          </cell>
          <cell r="AB27" t="str">
            <v>Couture Nicolas</v>
          </cell>
          <cell r="AC27" t="str">
            <v>Couture Nicolasa</v>
          </cell>
          <cell r="AD27" t="str">
            <v>Couture Nicolasaa</v>
          </cell>
          <cell r="AE27" t="str">
            <v>Dayot Franck</v>
          </cell>
          <cell r="AF27" t="str">
            <v>Dayot Francka</v>
          </cell>
          <cell r="AG27" t="str">
            <v>Dayot Franckaa</v>
          </cell>
          <cell r="AH27" t="str">
            <v>Flégeau Matthieu</v>
          </cell>
          <cell r="AI27" t="str">
            <v>Flégeau Matthieua</v>
          </cell>
          <cell r="AJ27" t="str">
            <v>Flégeau Matthieuaa</v>
          </cell>
          <cell r="AK27" t="str">
            <v>Guehennec Benoit</v>
          </cell>
          <cell r="AL27" t="str">
            <v>Guehennec Benoita</v>
          </cell>
          <cell r="AM27" t="str">
            <v>Guehennec Benoitaa</v>
          </cell>
          <cell r="AN27" t="str">
            <v>Guillotin Marie-Paule</v>
          </cell>
          <cell r="AO27" t="str">
            <v>Guillotin Marie-Paulea</v>
          </cell>
          <cell r="AP27" t="str">
            <v>Guillotin Marie-Pauleaa</v>
          </cell>
          <cell r="AQ27" t="str">
            <v>Hilton Franck</v>
          </cell>
          <cell r="AR27" t="str">
            <v>Hilton Francka</v>
          </cell>
          <cell r="AS27" t="str">
            <v>Hilton Franckaa</v>
          </cell>
          <cell r="AT27" t="str">
            <v>Jugé Léana</v>
          </cell>
          <cell r="AU27" t="str">
            <v>Jugé Léanaa</v>
          </cell>
          <cell r="AV27" t="str">
            <v>Jugé Léanaaa</v>
          </cell>
          <cell r="AW27" t="str">
            <v>Le Cam Alan</v>
          </cell>
          <cell r="AX27" t="str">
            <v>Le Cam Alana</v>
          </cell>
          <cell r="AY27" t="str">
            <v>Le Cam Alanaa</v>
          </cell>
          <cell r="AZ27" t="str">
            <v>Le Cam Corentin</v>
          </cell>
          <cell r="BA27" t="str">
            <v>Le Cam Corentina</v>
          </cell>
          <cell r="BB27" t="str">
            <v>Le Cam Corentinaa</v>
          </cell>
          <cell r="BC27" t="str">
            <v>Le Garnec Sacha</v>
          </cell>
          <cell r="BD27" t="str">
            <v>Le Garnec Sachaa</v>
          </cell>
          <cell r="BE27" t="str">
            <v>Le Garnec Sachaaa</v>
          </cell>
          <cell r="BF27" t="str">
            <v>Lecossier Michel</v>
          </cell>
          <cell r="BG27" t="str">
            <v>Lecossier Michela</v>
          </cell>
          <cell r="BH27" t="str">
            <v>Lecossier Michelaa</v>
          </cell>
          <cell r="BI27" t="str">
            <v>Lorho Mathieu</v>
          </cell>
          <cell r="BJ27" t="str">
            <v>Lorho Mathieua</v>
          </cell>
          <cell r="BK27" t="str">
            <v>Lorho Mathieuaa</v>
          </cell>
          <cell r="BL27" t="str">
            <v>Mierzwa Julien</v>
          </cell>
          <cell r="BM27" t="str">
            <v>Mierzwa Juliena</v>
          </cell>
          <cell r="BN27" t="str">
            <v>Mierzwa Julienaa</v>
          </cell>
          <cell r="BO27" t="str">
            <v>Morin Emmanuel</v>
          </cell>
          <cell r="BP27" t="str">
            <v>Morin Emmanuela</v>
          </cell>
          <cell r="BQ27" t="str">
            <v>Morin Emmanuelaa</v>
          </cell>
          <cell r="BR27" t="str">
            <v>Morin Léa</v>
          </cell>
          <cell r="BS27" t="str">
            <v>Morin Léaa</v>
          </cell>
          <cell r="BT27" t="str">
            <v>Morin Léaaa</v>
          </cell>
          <cell r="BU27" t="str">
            <v>Morin Quentin</v>
          </cell>
          <cell r="BV27" t="str">
            <v>Morin Quentina</v>
          </cell>
          <cell r="BW27" t="str">
            <v>Morin Quentinaa</v>
          </cell>
          <cell r="BX27" t="str">
            <v>Nicolas Jérémy</v>
          </cell>
          <cell r="BY27" t="str">
            <v>Nicolas Jérémya</v>
          </cell>
          <cell r="BZ27" t="str">
            <v>Nicolas Jérémyaa</v>
          </cell>
          <cell r="CA27" t="str">
            <v>Rochefort Reginald</v>
          </cell>
          <cell r="CB27" t="str">
            <v>Rochefort Reginalda</v>
          </cell>
          <cell r="CC27" t="str">
            <v>Rochefort Reginaldaa</v>
          </cell>
          <cell r="CD27" t="str">
            <v>Roszak Clément</v>
          </cell>
          <cell r="CE27" t="str">
            <v>Roszak Clémenta</v>
          </cell>
          <cell r="CF27" t="str">
            <v>Roszak Clémentaa</v>
          </cell>
          <cell r="CG27" t="str">
            <v>Roszak Martin</v>
          </cell>
          <cell r="CH27" t="str">
            <v>Roszak Martina</v>
          </cell>
          <cell r="CI27" t="str">
            <v>Roszak Martinaa</v>
          </cell>
          <cell r="CJ27" t="str">
            <v>Sail Rémy</v>
          </cell>
          <cell r="CK27" t="str">
            <v>Sail Rémya</v>
          </cell>
          <cell r="CL27" t="str">
            <v>Sail Rémyaa</v>
          </cell>
          <cell r="CM27" t="str">
            <v>Simon Titouan</v>
          </cell>
          <cell r="CN27" t="str">
            <v>Simon Titouana</v>
          </cell>
          <cell r="CO27" t="str">
            <v>Simon Titouanaa</v>
          </cell>
          <cell r="CP27" t="str">
            <v>Touche Rémy</v>
          </cell>
          <cell r="CQ27" t="str">
            <v>Touche Rémya</v>
          </cell>
          <cell r="CR27" t="str">
            <v>Touche Rémyaa</v>
          </cell>
          <cell r="CS27" t="str">
            <v>Trin Kilian</v>
          </cell>
          <cell r="CT27" t="str">
            <v>Trin Kiliana</v>
          </cell>
          <cell r="CU27" t="str">
            <v>Trin Kilianaa</v>
          </cell>
          <cell r="CV27" t="str">
            <v>Vilain Benjamin</v>
          </cell>
          <cell r="CW27" t="str">
            <v>Vilain Benjamina</v>
          </cell>
          <cell r="CX27" t="str">
            <v>Vilain Benjaminaa</v>
          </cell>
          <cell r="CY27" t="str">
            <v>Zaragoza José</v>
          </cell>
          <cell r="CZ27" t="str">
            <v>Zaragoza Joséa</v>
          </cell>
          <cell r="DA27" t="str">
            <v>Zaragoza Joséaa</v>
          </cell>
          <cell r="DB27" t="str">
            <v>Zaragoza Quentin</v>
          </cell>
          <cell r="DC27" t="str">
            <v>Zaragoza Quentina</v>
          </cell>
          <cell r="DD27" t="str">
            <v>Zaragoza Quentinaa</v>
          </cell>
          <cell r="DE27" t="str">
            <v>Colombel Guy</v>
          </cell>
          <cell r="DF27" t="str">
            <v>Colombel Guya</v>
          </cell>
          <cell r="DG27" t="str">
            <v>Colombel Guyaa</v>
          </cell>
          <cell r="DH27" t="str">
            <v>Craineguy David</v>
          </cell>
          <cell r="DI27" t="str">
            <v>Craineguy Davida</v>
          </cell>
          <cell r="DJ27" t="str">
            <v>Craineguy Davidaa</v>
          </cell>
          <cell r="DK27" t="str">
            <v>Sail Anthony</v>
          </cell>
          <cell r="DL27" t="str">
            <v>Sail Anthonya</v>
          </cell>
          <cell r="DM27" t="str">
            <v>Sail Anthonyaa</v>
          </cell>
          <cell r="DN27" t="str">
            <v>Faulkner thierry</v>
          </cell>
          <cell r="DO27" t="str">
            <v>Faulkner thierrya</v>
          </cell>
          <cell r="DP27" t="str">
            <v>Faulkner thierryaa</v>
          </cell>
          <cell r="DQ27" t="str">
            <v>Ravel serge</v>
          </cell>
          <cell r="DR27" t="str">
            <v>Ravel sergea</v>
          </cell>
          <cell r="DS27" t="str">
            <v>Ravel sergeaa</v>
          </cell>
          <cell r="DT27" t="str">
            <v>Cojean Gwendal</v>
          </cell>
          <cell r="DU27" t="str">
            <v>Cojean Gwendala</v>
          </cell>
          <cell r="DV27" t="str">
            <v>Cojean Gwendalaa</v>
          </cell>
          <cell r="DW27">
            <v>0</v>
          </cell>
          <cell r="DX27" t="str">
            <v>0a</v>
          </cell>
          <cell r="DY27" t="str">
            <v>0aa</v>
          </cell>
          <cell r="DZ27">
            <v>0</v>
          </cell>
          <cell r="EA27" t="str">
            <v>0a</v>
          </cell>
          <cell r="EB27" t="str">
            <v>0aa</v>
          </cell>
          <cell r="EC27">
            <v>0</v>
          </cell>
          <cell r="ED27" t="str">
            <v>0a</v>
          </cell>
          <cell r="EE27" t="str">
            <v>0aa</v>
          </cell>
          <cell r="EF27">
            <v>0</v>
          </cell>
          <cell r="EG27" t="str">
            <v>0a</v>
          </cell>
          <cell r="EH27" t="str">
            <v>0aa</v>
          </cell>
          <cell r="EI27">
            <v>0</v>
          </cell>
          <cell r="EJ27" t="str">
            <v>0a</v>
          </cell>
          <cell r="EK27" t="str">
            <v>0aa</v>
          </cell>
          <cell r="EL27">
            <v>0</v>
          </cell>
          <cell r="EM27" t="str">
            <v>0a</v>
          </cell>
          <cell r="EN27" t="str">
            <v>0aa</v>
          </cell>
          <cell r="EO27">
            <v>0</v>
          </cell>
          <cell r="EP27" t="str">
            <v>0a</v>
          </cell>
        </row>
        <row r="28">
          <cell r="A28">
            <v>0</v>
          </cell>
          <cell r="B28" t="str">
            <v>vict</v>
          </cell>
          <cell r="C28" t="str">
            <v>déf</v>
          </cell>
          <cell r="D28">
            <v>0</v>
          </cell>
          <cell r="E28" t="str">
            <v>vict</v>
          </cell>
          <cell r="F28" t="str">
            <v>déf</v>
          </cell>
          <cell r="G28">
            <v>0</v>
          </cell>
          <cell r="H28" t="str">
            <v>vict</v>
          </cell>
          <cell r="I28" t="str">
            <v>déf</v>
          </cell>
          <cell r="J28">
            <v>0</v>
          </cell>
          <cell r="K28" t="str">
            <v>vict</v>
          </cell>
          <cell r="L28" t="str">
            <v>déf</v>
          </cell>
          <cell r="M28">
            <v>0</v>
          </cell>
          <cell r="N28" t="str">
            <v>vict</v>
          </cell>
          <cell r="O28" t="str">
            <v>déf</v>
          </cell>
          <cell r="P28">
            <v>0</v>
          </cell>
          <cell r="Q28" t="str">
            <v>vict</v>
          </cell>
          <cell r="R28" t="str">
            <v>déf</v>
          </cell>
          <cell r="S28">
            <v>0</v>
          </cell>
          <cell r="T28" t="str">
            <v>vict</v>
          </cell>
          <cell r="U28" t="str">
            <v>déf</v>
          </cell>
          <cell r="V28">
            <v>0</v>
          </cell>
          <cell r="W28" t="str">
            <v>vict</v>
          </cell>
          <cell r="X28" t="str">
            <v>déf</v>
          </cell>
          <cell r="Y28">
            <v>0</v>
          </cell>
          <cell r="Z28" t="str">
            <v>vict</v>
          </cell>
          <cell r="AA28" t="str">
            <v>déf</v>
          </cell>
          <cell r="AB28">
            <v>0</v>
          </cell>
          <cell r="AC28" t="str">
            <v>vict</v>
          </cell>
          <cell r="AD28" t="str">
            <v>déf</v>
          </cell>
          <cell r="AE28">
            <v>0</v>
          </cell>
          <cell r="AF28" t="str">
            <v>vict</v>
          </cell>
          <cell r="AG28" t="str">
            <v>déf</v>
          </cell>
          <cell r="AH28">
            <v>0</v>
          </cell>
          <cell r="AI28" t="str">
            <v>vict</v>
          </cell>
          <cell r="AJ28" t="str">
            <v>déf</v>
          </cell>
          <cell r="AK28">
            <v>0</v>
          </cell>
          <cell r="AL28" t="str">
            <v>vict</v>
          </cell>
          <cell r="AM28" t="str">
            <v>déf</v>
          </cell>
          <cell r="AN28">
            <v>0</v>
          </cell>
          <cell r="AO28" t="str">
            <v>vict</v>
          </cell>
          <cell r="AP28" t="str">
            <v>déf</v>
          </cell>
          <cell r="AQ28">
            <v>0</v>
          </cell>
          <cell r="AR28" t="str">
            <v>vict</v>
          </cell>
          <cell r="AS28" t="str">
            <v>déf</v>
          </cell>
          <cell r="AT28">
            <v>0</v>
          </cell>
          <cell r="AU28" t="str">
            <v>vict</v>
          </cell>
          <cell r="AV28" t="str">
            <v>déf</v>
          </cell>
          <cell r="AW28">
            <v>0</v>
          </cell>
          <cell r="AX28" t="str">
            <v>vict</v>
          </cell>
          <cell r="AY28" t="str">
            <v>déf</v>
          </cell>
          <cell r="AZ28">
            <v>0</v>
          </cell>
          <cell r="BA28" t="str">
            <v>vict</v>
          </cell>
          <cell r="BB28" t="str">
            <v>déf</v>
          </cell>
          <cell r="BC28">
            <v>0</v>
          </cell>
          <cell r="BD28" t="str">
            <v>vict</v>
          </cell>
          <cell r="BE28" t="str">
            <v>déf</v>
          </cell>
          <cell r="BF28">
            <v>0</v>
          </cell>
          <cell r="BG28" t="str">
            <v>vict</v>
          </cell>
          <cell r="BH28" t="str">
            <v>déf</v>
          </cell>
          <cell r="BI28">
            <v>0</v>
          </cell>
          <cell r="BJ28" t="str">
            <v>vict</v>
          </cell>
          <cell r="BK28" t="str">
            <v>déf</v>
          </cell>
          <cell r="BL28">
            <v>0</v>
          </cell>
          <cell r="BM28" t="str">
            <v>vict</v>
          </cell>
          <cell r="BN28" t="str">
            <v>déf</v>
          </cell>
          <cell r="BO28">
            <v>0</v>
          </cell>
          <cell r="BP28" t="str">
            <v>vict</v>
          </cell>
          <cell r="BQ28" t="str">
            <v>déf</v>
          </cell>
          <cell r="BR28">
            <v>0</v>
          </cell>
          <cell r="BS28" t="str">
            <v>vict</v>
          </cell>
          <cell r="BT28" t="str">
            <v>déf</v>
          </cell>
          <cell r="BU28">
            <v>0</v>
          </cell>
          <cell r="BV28" t="str">
            <v>vict</v>
          </cell>
          <cell r="BW28" t="str">
            <v>déf</v>
          </cell>
          <cell r="BX28">
            <v>0</v>
          </cell>
          <cell r="BY28" t="str">
            <v>vict</v>
          </cell>
          <cell r="BZ28" t="str">
            <v>déf</v>
          </cell>
          <cell r="CA28">
            <v>0</v>
          </cell>
          <cell r="CB28" t="str">
            <v>vict</v>
          </cell>
          <cell r="CC28" t="str">
            <v>déf</v>
          </cell>
          <cell r="CD28">
            <v>0</v>
          </cell>
          <cell r="CE28" t="str">
            <v>vict</v>
          </cell>
          <cell r="CF28" t="str">
            <v>déf</v>
          </cell>
          <cell r="CG28">
            <v>0</v>
          </cell>
          <cell r="CH28" t="str">
            <v>vict</v>
          </cell>
          <cell r="CI28" t="str">
            <v>déf</v>
          </cell>
          <cell r="CJ28">
            <v>0</v>
          </cell>
          <cell r="CK28" t="str">
            <v>vict</v>
          </cell>
          <cell r="CL28" t="str">
            <v>déf</v>
          </cell>
          <cell r="CM28">
            <v>0</v>
          </cell>
          <cell r="CN28" t="str">
            <v>vict</v>
          </cell>
          <cell r="CO28" t="str">
            <v>déf</v>
          </cell>
          <cell r="CP28">
            <v>0</v>
          </cell>
          <cell r="CQ28" t="str">
            <v>vict</v>
          </cell>
          <cell r="CR28" t="str">
            <v>déf</v>
          </cell>
          <cell r="CS28">
            <v>0</v>
          </cell>
          <cell r="CT28" t="str">
            <v>vict</v>
          </cell>
          <cell r="CU28" t="str">
            <v>déf</v>
          </cell>
          <cell r="CV28">
            <v>0</v>
          </cell>
          <cell r="CW28" t="str">
            <v>vict</v>
          </cell>
          <cell r="CX28" t="str">
            <v>déf</v>
          </cell>
          <cell r="CY28">
            <v>0</v>
          </cell>
          <cell r="CZ28" t="str">
            <v>vict</v>
          </cell>
          <cell r="DA28" t="str">
            <v>déf</v>
          </cell>
          <cell r="DB28">
            <v>0</v>
          </cell>
          <cell r="DC28" t="str">
            <v>vict</v>
          </cell>
          <cell r="DD28" t="str">
            <v>déf</v>
          </cell>
          <cell r="DE28">
            <v>0</v>
          </cell>
          <cell r="DF28" t="str">
            <v>vict</v>
          </cell>
          <cell r="DG28" t="str">
            <v>déf</v>
          </cell>
          <cell r="DH28">
            <v>0</v>
          </cell>
          <cell r="DI28" t="str">
            <v>vict</v>
          </cell>
          <cell r="DJ28" t="str">
            <v>déf</v>
          </cell>
          <cell r="DK28">
            <v>0</v>
          </cell>
          <cell r="DL28" t="str">
            <v>vict</v>
          </cell>
          <cell r="DM28" t="str">
            <v>déf</v>
          </cell>
          <cell r="DN28">
            <v>0</v>
          </cell>
          <cell r="DO28" t="str">
            <v>vict</v>
          </cell>
          <cell r="DP28" t="str">
            <v>déf</v>
          </cell>
          <cell r="DQ28">
            <v>0</v>
          </cell>
          <cell r="DR28" t="str">
            <v>vict</v>
          </cell>
          <cell r="DS28" t="str">
            <v>déf</v>
          </cell>
          <cell r="DT28">
            <v>0</v>
          </cell>
          <cell r="DU28" t="str">
            <v>vict</v>
          </cell>
          <cell r="DV28" t="str">
            <v>déf</v>
          </cell>
          <cell r="DW28">
            <v>0</v>
          </cell>
          <cell r="DX28" t="str">
            <v>vict</v>
          </cell>
          <cell r="DY28" t="str">
            <v>déf</v>
          </cell>
          <cell r="DZ28">
            <v>0</v>
          </cell>
          <cell r="EA28" t="str">
            <v>vict</v>
          </cell>
          <cell r="EB28" t="str">
            <v>déf</v>
          </cell>
          <cell r="EC28">
            <v>0</v>
          </cell>
          <cell r="ED28" t="str">
            <v>vict</v>
          </cell>
          <cell r="EE28" t="str">
            <v>déf</v>
          </cell>
          <cell r="EF28">
            <v>0</v>
          </cell>
          <cell r="EG28" t="str">
            <v>vict</v>
          </cell>
          <cell r="EH28" t="str">
            <v>déf</v>
          </cell>
          <cell r="EI28">
            <v>0</v>
          </cell>
          <cell r="EJ28" t="str">
            <v>vict</v>
          </cell>
          <cell r="EK28" t="str">
            <v>déf</v>
          </cell>
          <cell r="EL28">
            <v>0</v>
          </cell>
          <cell r="EM28" t="str">
            <v>vict</v>
          </cell>
          <cell r="EN28" t="str">
            <v>déf</v>
          </cell>
          <cell r="EO28">
            <v>0</v>
          </cell>
          <cell r="EP28" t="str">
            <v>vict</v>
          </cell>
        </row>
        <row r="29">
          <cell r="A29">
            <v>5</v>
          </cell>
          <cell r="B29">
            <v>19</v>
          </cell>
          <cell r="C29">
            <v>8</v>
          </cell>
          <cell r="D29">
            <v>5</v>
          </cell>
          <cell r="E29">
            <v>2</v>
          </cell>
          <cell r="F29">
            <v>15</v>
          </cell>
          <cell r="G29">
            <v>5</v>
          </cell>
          <cell r="H29">
            <v>2</v>
          </cell>
          <cell r="I29">
            <v>0</v>
          </cell>
          <cell r="J29">
            <v>5</v>
          </cell>
          <cell r="K29">
            <v>0</v>
          </cell>
          <cell r="L29">
            <v>0</v>
          </cell>
          <cell r="M29">
            <v>5</v>
          </cell>
          <cell r="N29">
            <v>3</v>
          </cell>
          <cell r="O29">
            <v>0</v>
          </cell>
          <cell r="P29">
            <v>5</v>
          </cell>
          <cell r="Q29">
            <v>11</v>
          </cell>
          <cell r="R29">
            <v>3</v>
          </cell>
          <cell r="S29">
            <v>5</v>
          </cell>
          <cell r="T29">
            <v>0</v>
          </cell>
          <cell r="U29">
            <v>0</v>
          </cell>
          <cell r="V29">
            <v>5</v>
          </cell>
          <cell r="W29">
            <v>8</v>
          </cell>
          <cell r="X29">
            <v>0</v>
          </cell>
          <cell r="Y29">
            <v>5</v>
          </cell>
          <cell r="Z29">
            <v>1</v>
          </cell>
          <cell r="AA29">
            <v>0</v>
          </cell>
          <cell r="AB29">
            <v>5</v>
          </cell>
          <cell r="AC29">
            <v>1</v>
          </cell>
          <cell r="AD29">
            <v>0</v>
          </cell>
          <cell r="AE29">
            <v>5</v>
          </cell>
          <cell r="AF29">
            <v>6</v>
          </cell>
          <cell r="AG29">
            <v>0</v>
          </cell>
          <cell r="AH29">
            <v>5</v>
          </cell>
          <cell r="AI29">
            <v>1</v>
          </cell>
          <cell r="AJ29">
            <v>0</v>
          </cell>
          <cell r="AK29">
            <v>5</v>
          </cell>
          <cell r="AL29">
            <v>20</v>
          </cell>
          <cell r="AM29">
            <v>0</v>
          </cell>
          <cell r="AN29">
            <v>5</v>
          </cell>
          <cell r="AO29">
            <v>9</v>
          </cell>
          <cell r="AP29">
            <v>9</v>
          </cell>
          <cell r="AQ29">
            <v>5</v>
          </cell>
          <cell r="AR29">
            <v>1</v>
          </cell>
          <cell r="AS29">
            <v>0</v>
          </cell>
          <cell r="AT29">
            <v>5</v>
          </cell>
          <cell r="AU29">
            <v>1</v>
          </cell>
          <cell r="AV29">
            <v>4</v>
          </cell>
          <cell r="AW29">
            <v>5</v>
          </cell>
          <cell r="AX29">
            <v>11</v>
          </cell>
          <cell r="AY29">
            <v>1</v>
          </cell>
          <cell r="AZ29">
            <v>5</v>
          </cell>
          <cell r="BA29">
            <v>3</v>
          </cell>
          <cell r="BB29">
            <v>2</v>
          </cell>
          <cell r="BC29">
            <v>5</v>
          </cell>
          <cell r="BD29">
            <v>4</v>
          </cell>
          <cell r="BE29">
            <v>0</v>
          </cell>
          <cell r="BF29">
            <v>5</v>
          </cell>
          <cell r="BG29">
            <v>1</v>
          </cell>
          <cell r="BH29">
            <v>0</v>
          </cell>
          <cell r="BI29">
            <v>5</v>
          </cell>
          <cell r="BJ29">
            <v>9</v>
          </cell>
          <cell r="BK29">
            <v>1</v>
          </cell>
          <cell r="BL29">
            <v>5</v>
          </cell>
          <cell r="BM29">
            <v>2</v>
          </cell>
          <cell r="BN29">
            <v>1</v>
          </cell>
          <cell r="BO29">
            <v>5</v>
          </cell>
          <cell r="BP29">
            <v>5</v>
          </cell>
          <cell r="BQ29">
            <v>1</v>
          </cell>
          <cell r="BR29">
            <v>5</v>
          </cell>
          <cell r="BS29">
            <v>11</v>
          </cell>
          <cell r="BT29">
            <v>2</v>
          </cell>
          <cell r="BU29">
            <v>5</v>
          </cell>
          <cell r="BV29">
            <v>14</v>
          </cell>
          <cell r="BW29">
            <v>0</v>
          </cell>
          <cell r="BX29">
            <v>5</v>
          </cell>
          <cell r="BY29">
            <v>3</v>
          </cell>
          <cell r="BZ29">
            <v>0</v>
          </cell>
          <cell r="CA29">
            <v>5</v>
          </cell>
          <cell r="CB29">
            <v>2</v>
          </cell>
          <cell r="CC29">
            <v>0</v>
          </cell>
          <cell r="CD29">
            <v>5</v>
          </cell>
          <cell r="CE29">
            <v>3</v>
          </cell>
          <cell r="CF29">
            <v>0</v>
          </cell>
          <cell r="CG29">
            <v>5</v>
          </cell>
          <cell r="CH29">
            <v>2</v>
          </cell>
          <cell r="CI29">
            <v>0</v>
          </cell>
          <cell r="CJ29">
            <v>5</v>
          </cell>
          <cell r="CK29">
            <v>47</v>
          </cell>
          <cell r="CL29">
            <v>4</v>
          </cell>
          <cell r="CM29">
            <v>5</v>
          </cell>
          <cell r="CN29">
            <v>9</v>
          </cell>
          <cell r="CO29">
            <v>20</v>
          </cell>
          <cell r="CP29">
            <v>5</v>
          </cell>
          <cell r="CQ29">
            <v>17</v>
          </cell>
          <cell r="CR29">
            <v>0</v>
          </cell>
          <cell r="CS29">
            <v>5</v>
          </cell>
          <cell r="CT29">
            <v>0</v>
          </cell>
          <cell r="CU29">
            <v>0</v>
          </cell>
          <cell r="CV29">
            <v>5</v>
          </cell>
          <cell r="CW29">
            <v>3</v>
          </cell>
          <cell r="CX29">
            <v>1</v>
          </cell>
          <cell r="CY29">
            <v>5</v>
          </cell>
          <cell r="CZ29">
            <v>14</v>
          </cell>
          <cell r="DA29">
            <v>0</v>
          </cell>
          <cell r="DB29">
            <v>5</v>
          </cell>
          <cell r="DC29">
            <v>35</v>
          </cell>
          <cell r="DD29">
            <v>6</v>
          </cell>
          <cell r="DE29">
            <v>5</v>
          </cell>
          <cell r="DF29">
            <v>3</v>
          </cell>
          <cell r="DG29">
            <v>0</v>
          </cell>
          <cell r="DH29">
            <v>5</v>
          </cell>
          <cell r="DI29">
            <v>8</v>
          </cell>
          <cell r="DJ29">
            <v>1</v>
          </cell>
          <cell r="DK29">
            <v>5</v>
          </cell>
          <cell r="DL29">
            <v>2</v>
          </cell>
          <cell r="DM29">
            <v>8</v>
          </cell>
          <cell r="DN29">
            <v>5</v>
          </cell>
          <cell r="DO29">
            <v>1</v>
          </cell>
          <cell r="DP29">
            <v>0</v>
          </cell>
          <cell r="DQ29">
            <v>5</v>
          </cell>
          <cell r="DR29">
            <v>4</v>
          </cell>
          <cell r="DS29">
            <v>5</v>
          </cell>
          <cell r="DT29">
            <v>5</v>
          </cell>
          <cell r="DU29">
            <v>2</v>
          </cell>
          <cell r="DV29">
            <v>8</v>
          </cell>
          <cell r="DW29">
            <v>5</v>
          </cell>
          <cell r="DX29" t="str">
            <v/>
          </cell>
          <cell r="DY29" t="b">
            <v>0</v>
          </cell>
          <cell r="DZ29">
            <v>5</v>
          </cell>
          <cell r="EA29" t="str">
            <v/>
          </cell>
          <cell r="EB29" t="b">
            <v>0</v>
          </cell>
          <cell r="EC29">
            <v>5</v>
          </cell>
          <cell r="ED29" t="str">
            <v/>
          </cell>
          <cell r="EE29" t="b">
            <v>0</v>
          </cell>
          <cell r="EF29">
            <v>5</v>
          </cell>
          <cell r="EG29" t="str">
            <v/>
          </cell>
          <cell r="EH29" t="b">
            <v>0</v>
          </cell>
          <cell r="EI29">
            <v>5</v>
          </cell>
          <cell r="EJ29" t="str">
            <v/>
          </cell>
          <cell r="EK29" t="b">
            <v>0</v>
          </cell>
          <cell r="EL29">
            <v>5</v>
          </cell>
          <cell r="EM29" t="str">
            <v/>
          </cell>
          <cell r="EN29" t="b">
            <v>0</v>
          </cell>
          <cell r="EO29">
            <v>5</v>
          </cell>
          <cell r="EP29" t="str">
            <v/>
          </cell>
        </row>
        <row r="30">
          <cell r="A30">
            <v>6</v>
          </cell>
          <cell r="B30">
            <v>6</v>
          </cell>
          <cell r="C30">
            <v>9</v>
          </cell>
          <cell r="D30">
            <v>6</v>
          </cell>
          <cell r="E30">
            <v>0</v>
          </cell>
          <cell r="F30">
            <v>1</v>
          </cell>
          <cell r="G30">
            <v>6</v>
          </cell>
          <cell r="H30">
            <v>2</v>
          </cell>
          <cell r="I30">
            <v>1</v>
          </cell>
          <cell r="J30">
            <v>6</v>
          </cell>
          <cell r="K30">
            <v>1</v>
          </cell>
          <cell r="L30">
            <v>0</v>
          </cell>
          <cell r="M30">
            <v>6</v>
          </cell>
          <cell r="N30">
            <v>5</v>
          </cell>
          <cell r="O30">
            <v>2</v>
          </cell>
          <cell r="P30">
            <v>6</v>
          </cell>
          <cell r="Q30">
            <v>3</v>
          </cell>
          <cell r="R30">
            <v>3</v>
          </cell>
          <cell r="S30">
            <v>6</v>
          </cell>
          <cell r="T30">
            <v>1</v>
          </cell>
          <cell r="U30">
            <v>0</v>
          </cell>
          <cell r="V30">
            <v>6</v>
          </cell>
          <cell r="W30">
            <v>7</v>
          </cell>
          <cell r="X30">
            <v>0</v>
          </cell>
          <cell r="Y30">
            <v>6</v>
          </cell>
          <cell r="Z30">
            <v>0</v>
          </cell>
          <cell r="AA30">
            <v>1</v>
          </cell>
          <cell r="AB30">
            <v>6</v>
          </cell>
          <cell r="AC30" t="b">
            <v>0</v>
          </cell>
          <cell r="AD30" t="b">
            <v>0</v>
          </cell>
          <cell r="AE30">
            <v>6</v>
          </cell>
          <cell r="AF30">
            <v>5</v>
          </cell>
          <cell r="AG30">
            <v>1</v>
          </cell>
          <cell r="AH30">
            <v>6</v>
          </cell>
          <cell r="AI30">
            <v>1</v>
          </cell>
          <cell r="AJ30">
            <v>0</v>
          </cell>
          <cell r="AK30">
            <v>6</v>
          </cell>
          <cell r="AL30">
            <v>2</v>
          </cell>
          <cell r="AM30">
            <v>3</v>
          </cell>
          <cell r="AN30">
            <v>6</v>
          </cell>
          <cell r="AO30">
            <v>1</v>
          </cell>
          <cell r="AP30">
            <v>3</v>
          </cell>
          <cell r="AQ30">
            <v>6</v>
          </cell>
          <cell r="AR30">
            <v>2</v>
          </cell>
          <cell r="AS30">
            <v>0</v>
          </cell>
          <cell r="AT30">
            <v>6</v>
          </cell>
          <cell r="AU30">
            <v>1</v>
          </cell>
          <cell r="AV30">
            <v>4</v>
          </cell>
          <cell r="AW30">
            <v>6</v>
          </cell>
          <cell r="AX30">
            <v>4</v>
          </cell>
          <cell r="AY30">
            <v>0</v>
          </cell>
          <cell r="AZ30">
            <v>6</v>
          </cell>
          <cell r="BA30">
            <v>4</v>
          </cell>
          <cell r="BB30">
            <v>3</v>
          </cell>
          <cell r="BC30">
            <v>6</v>
          </cell>
          <cell r="BD30">
            <v>1</v>
          </cell>
          <cell r="BE30">
            <v>0</v>
          </cell>
          <cell r="BF30">
            <v>6</v>
          </cell>
          <cell r="BG30">
            <v>4</v>
          </cell>
          <cell r="BH30">
            <v>0</v>
          </cell>
          <cell r="BI30">
            <v>6</v>
          </cell>
          <cell r="BJ30">
            <v>7</v>
          </cell>
          <cell r="BK30">
            <v>5</v>
          </cell>
          <cell r="BL30">
            <v>6</v>
          </cell>
          <cell r="BM30">
            <v>0</v>
          </cell>
          <cell r="BN30">
            <v>1</v>
          </cell>
          <cell r="BO30">
            <v>6</v>
          </cell>
          <cell r="BP30">
            <v>2</v>
          </cell>
          <cell r="BQ30">
            <v>0</v>
          </cell>
          <cell r="BR30">
            <v>6</v>
          </cell>
          <cell r="BS30">
            <v>9</v>
          </cell>
          <cell r="BT30">
            <v>4</v>
          </cell>
          <cell r="BU30">
            <v>6</v>
          </cell>
          <cell r="BV30">
            <v>7</v>
          </cell>
          <cell r="BW30">
            <v>0</v>
          </cell>
          <cell r="BX30">
            <v>6</v>
          </cell>
          <cell r="BY30">
            <v>4</v>
          </cell>
          <cell r="BZ30">
            <v>0</v>
          </cell>
          <cell r="CA30">
            <v>6</v>
          </cell>
          <cell r="CB30">
            <v>2</v>
          </cell>
          <cell r="CC30">
            <v>0</v>
          </cell>
          <cell r="CD30">
            <v>6</v>
          </cell>
          <cell r="CE30">
            <v>1</v>
          </cell>
          <cell r="CF30">
            <v>0</v>
          </cell>
          <cell r="CG30">
            <v>6</v>
          </cell>
          <cell r="CH30">
            <v>4</v>
          </cell>
          <cell r="CI30">
            <v>0</v>
          </cell>
          <cell r="CJ30">
            <v>6</v>
          </cell>
          <cell r="CK30">
            <v>2</v>
          </cell>
          <cell r="CL30">
            <v>7</v>
          </cell>
          <cell r="CM30">
            <v>6</v>
          </cell>
          <cell r="CN30">
            <v>0</v>
          </cell>
          <cell r="CO30">
            <v>2</v>
          </cell>
          <cell r="CP30">
            <v>6</v>
          </cell>
          <cell r="CQ30">
            <v>5</v>
          </cell>
          <cell r="CR30">
            <v>0</v>
          </cell>
          <cell r="CS30">
            <v>6</v>
          </cell>
          <cell r="CT30">
            <v>0</v>
          </cell>
          <cell r="CU30">
            <v>0</v>
          </cell>
          <cell r="CV30">
            <v>6</v>
          </cell>
          <cell r="CW30">
            <v>0</v>
          </cell>
          <cell r="CX30">
            <v>0</v>
          </cell>
          <cell r="CY30">
            <v>6</v>
          </cell>
          <cell r="CZ30">
            <v>4</v>
          </cell>
          <cell r="DA30">
            <v>1</v>
          </cell>
          <cell r="DB30">
            <v>6</v>
          </cell>
          <cell r="DC30">
            <v>7</v>
          </cell>
          <cell r="DD30">
            <v>11</v>
          </cell>
          <cell r="DE30">
            <v>6</v>
          </cell>
          <cell r="DF30">
            <v>0</v>
          </cell>
          <cell r="DG30">
            <v>0</v>
          </cell>
          <cell r="DH30">
            <v>6</v>
          </cell>
          <cell r="DI30">
            <v>1</v>
          </cell>
          <cell r="DJ30">
            <v>3</v>
          </cell>
          <cell r="DK30">
            <v>6</v>
          </cell>
          <cell r="DL30">
            <v>0</v>
          </cell>
          <cell r="DM30">
            <v>2</v>
          </cell>
          <cell r="DN30">
            <v>6</v>
          </cell>
          <cell r="DO30">
            <v>0</v>
          </cell>
          <cell r="DP30">
            <v>0</v>
          </cell>
          <cell r="DQ30">
            <v>6</v>
          </cell>
          <cell r="DR30">
            <v>0</v>
          </cell>
          <cell r="DS30">
            <v>2</v>
          </cell>
          <cell r="DT30">
            <v>6</v>
          </cell>
          <cell r="DU30">
            <v>0</v>
          </cell>
          <cell r="DV30">
            <v>2</v>
          </cell>
          <cell r="DW30">
            <v>6</v>
          </cell>
          <cell r="DX30" t="b">
            <v>0</v>
          </cell>
          <cell r="DY30" t="b">
            <v>0</v>
          </cell>
          <cell r="DZ30">
            <v>6</v>
          </cell>
          <cell r="EA30" t="b">
            <v>0</v>
          </cell>
          <cell r="EB30" t="b">
            <v>0</v>
          </cell>
          <cell r="EC30">
            <v>6</v>
          </cell>
          <cell r="ED30" t="b">
            <v>0</v>
          </cell>
          <cell r="EE30" t="b">
            <v>0</v>
          </cell>
          <cell r="EF30">
            <v>6</v>
          </cell>
          <cell r="EG30" t="b">
            <v>0</v>
          </cell>
          <cell r="EH30" t="b">
            <v>0</v>
          </cell>
          <cell r="EI30">
            <v>6</v>
          </cell>
          <cell r="EJ30" t="b">
            <v>0</v>
          </cell>
          <cell r="EK30" t="b">
            <v>0</v>
          </cell>
          <cell r="EL30">
            <v>6</v>
          </cell>
          <cell r="EM30" t="b">
            <v>0</v>
          </cell>
          <cell r="EN30" t="b">
            <v>0</v>
          </cell>
          <cell r="EO30">
            <v>6</v>
          </cell>
          <cell r="EP30" t="b">
            <v>0</v>
          </cell>
          <cell r="EQ30" t="b">
            <v>0</v>
          </cell>
        </row>
        <row r="31">
          <cell r="A31">
            <v>7</v>
          </cell>
          <cell r="B31">
            <v>1</v>
          </cell>
          <cell r="C31">
            <v>2</v>
          </cell>
          <cell r="D31">
            <v>7</v>
          </cell>
          <cell r="E31">
            <v>0</v>
          </cell>
          <cell r="F31">
            <v>0</v>
          </cell>
          <cell r="G31">
            <v>7</v>
          </cell>
          <cell r="H31">
            <v>5</v>
          </cell>
          <cell r="I31">
            <v>1</v>
          </cell>
          <cell r="J31">
            <v>7</v>
          </cell>
          <cell r="K31">
            <v>1</v>
          </cell>
          <cell r="L31">
            <v>0</v>
          </cell>
          <cell r="M31">
            <v>7</v>
          </cell>
          <cell r="N31">
            <v>3</v>
          </cell>
          <cell r="O31">
            <v>3</v>
          </cell>
          <cell r="P31">
            <v>7</v>
          </cell>
          <cell r="Q31">
            <v>1</v>
          </cell>
          <cell r="R31">
            <v>2</v>
          </cell>
          <cell r="S31">
            <v>7</v>
          </cell>
          <cell r="T31">
            <v>0</v>
          </cell>
          <cell r="U31">
            <v>0</v>
          </cell>
          <cell r="V31">
            <v>7</v>
          </cell>
          <cell r="W31">
            <v>3</v>
          </cell>
          <cell r="X31">
            <v>3</v>
          </cell>
          <cell r="Y31">
            <v>7</v>
          </cell>
          <cell r="Z31">
            <v>3</v>
          </cell>
          <cell r="AA31">
            <v>0</v>
          </cell>
          <cell r="AB31">
            <v>7</v>
          </cell>
          <cell r="AC31">
            <v>1</v>
          </cell>
          <cell r="AD31">
            <v>0</v>
          </cell>
          <cell r="AE31">
            <v>7</v>
          </cell>
          <cell r="AF31">
            <v>7</v>
          </cell>
          <cell r="AG31">
            <v>0</v>
          </cell>
          <cell r="AH31">
            <v>7</v>
          </cell>
          <cell r="AI31">
            <v>1</v>
          </cell>
          <cell r="AJ31">
            <v>0</v>
          </cell>
          <cell r="AK31">
            <v>7</v>
          </cell>
          <cell r="AL31">
            <v>0</v>
          </cell>
          <cell r="AM31">
            <v>2</v>
          </cell>
          <cell r="AN31">
            <v>7</v>
          </cell>
          <cell r="AO31">
            <v>0</v>
          </cell>
          <cell r="AP31">
            <v>3</v>
          </cell>
          <cell r="AQ31">
            <v>7</v>
          </cell>
          <cell r="AR31">
            <v>1</v>
          </cell>
          <cell r="AS31">
            <v>0</v>
          </cell>
          <cell r="AT31">
            <v>7</v>
          </cell>
          <cell r="AU31">
            <v>0</v>
          </cell>
          <cell r="AV31">
            <v>5</v>
          </cell>
          <cell r="AW31">
            <v>7</v>
          </cell>
          <cell r="AX31">
            <v>1</v>
          </cell>
          <cell r="AY31">
            <v>1</v>
          </cell>
          <cell r="AZ31">
            <v>7</v>
          </cell>
          <cell r="BA31">
            <v>0</v>
          </cell>
          <cell r="BB31">
            <v>6</v>
          </cell>
          <cell r="BC31">
            <v>7</v>
          </cell>
          <cell r="BD31">
            <v>1</v>
          </cell>
          <cell r="BE31">
            <v>2</v>
          </cell>
          <cell r="BF31">
            <v>7</v>
          </cell>
          <cell r="BG31">
            <v>2</v>
          </cell>
          <cell r="BH31">
            <v>0</v>
          </cell>
          <cell r="BI31">
            <v>7</v>
          </cell>
          <cell r="BJ31">
            <v>5</v>
          </cell>
          <cell r="BK31">
            <v>4</v>
          </cell>
          <cell r="BL31">
            <v>7</v>
          </cell>
          <cell r="BM31">
            <v>3</v>
          </cell>
          <cell r="BN31">
            <v>1</v>
          </cell>
          <cell r="BO31">
            <v>7</v>
          </cell>
          <cell r="BP31">
            <v>3</v>
          </cell>
          <cell r="BQ31">
            <v>1</v>
          </cell>
          <cell r="BR31">
            <v>7</v>
          </cell>
          <cell r="BS31">
            <v>14</v>
          </cell>
          <cell r="BT31">
            <v>8</v>
          </cell>
          <cell r="BU31">
            <v>7</v>
          </cell>
          <cell r="BV31">
            <v>10</v>
          </cell>
          <cell r="BW31">
            <v>2</v>
          </cell>
          <cell r="BX31">
            <v>7</v>
          </cell>
          <cell r="BY31">
            <v>4</v>
          </cell>
          <cell r="BZ31">
            <v>0</v>
          </cell>
          <cell r="CA31">
            <v>7</v>
          </cell>
          <cell r="CB31">
            <v>2</v>
          </cell>
          <cell r="CC31">
            <v>2</v>
          </cell>
          <cell r="CD31">
            <v>7</v>
          </cell>
          <cell r="CE31">
            <v>0</v>
          </cell>
          <cell r="CF31">
            <v>0</v>
          </cell>
          <cell r="CG31">
            <v>7</v>
          </cell>
          <cell r="CH31">
            <v>2</v>
          </cell>
          <cell r="CI31">
            <v>1</v>
          </cell>
          <cell r="CJ31">
            <v>7</v>
          </cell>
          <cell r="CK31">
            <v>1</v>
          </cell>
          <cell r="CL31">
            <v>2</v>
          </cell>
          <cell r="CM31">
            <v>7</v>
          </cell>
          <cell r="CN31">
            <v>0</v>
          </cell>
          <cell r="CO31">
            <v>2</v>
          </cell>
          <cell r="CP31">
            <v>7</v>
          </cell>
          <cell r="CQ31">
            <v>3</v>
          </cell>
          <cell r="CR31">
            <v>1</v>
          </cell>
          <cell r="CS31">
            <v>7</v>
          </cell>
          <cell r="CT31">
            <v>0</v>
          </cell>
          <cell r="CU31">
            <v>0</v>
          </cell>
          <cell r="CV31">
            <v>7</v>
          </cell>
          <cell r="CW31">
            <v>3</v>
          </cell>
          <cell r="CX31">
            <v>1</v>
          </cell>
          <cell r="CY31">
            <v>7</v>
          </cell>
          <cell r="CZ31">
            <v>4</v>
          </cell>
          <cell r="DA31">
            <v>0</v>
          </cell>
          <cell r="DB31">
            <v>7</v>
          </cell>
          <cell r="DC31">
            <v>2</v>
          </cell>
          <cell r="DD31">
            <v>8</v>
          </cell>
          <cell r="DE31">
            <v>7</v>
          </cell>
          <cell r="DF31">
            <v>2</v>
          </cell>
          <cell r="DG31">
            <v>0</v>
          </cell>
          <cell r="DH31">
            <v>7</v>
          </cell>
          <cell r="DI31">
            <v>0</v>
          </cell>
          <cell r="DJ31">
            <v>1</v>
          </cell>
          <cell r="DK31">
            <v>7</v>
          </cell>
          <cell r="DL31">
            <v>0</v>
          </cell>
          <cell r="DM31">
            <v>0</v>
          </cell>
          <cell r="DN31">
            <v>7</v>
          </cell>
          <cell r="DO31">
            <v>0</v>
          </cell>
          <cell r="DP31">
            <v>0</v>
          </cell>
          <cell r="DQ31">
            <v>7</v>
          </cell>
          <cell r="DR31">
            <v>0</v>
          </cell>
          <cell r="DS31">
            <v>1</v>
          </cell>
          <cell r="DT31">
            <v>7</v>
          </cell>
          <cell r="DU31">
            <v>0</v>
          </cell>
          <cell r="DV31">
            <v>2</v>
          </cell>
          <cell r="DW31">
            <v>7</v>
          </cell>
          <cell r="DX31" t="b">
            <v>0</v>
          </cell>
          <cell r="DY31" t="b">
            <v>0</v>
          </cell>
          <cell r="DZ31">
            <v>7</v>
          </cell>
          <cell r="EA31" t="b">
            <v>0</v>
          </cell>
          <cell r="EB31" t="b">
            <v>0</v>
          </cell>
          <cell r="EC31">
            <v>7</v>
          </cell>
          <cell r="ED31" t="b">
            <v>0</v>
          </cell>
          <cell r="EE31" t="b">
            <v>0</v>
          </cell>
          <cell r="EF31">
            <v>7</v>
          </cell>
          <cell r="EG31" t="b">
            <v>0</v>
          </cell>
          <cell r="EH31" t="b">
            <v>0</v>
          </cell>
          <cell r="EI31">
            <v>7</v>
          </cell>
          <cell r="EJ31" t="b">
            <v>0</v>
          </cell>
          <cell r="EK31" t="b">
            <v>0</v>
          </cell>
          <cell r="EL31">
            <v>7</v>
          </cell>
          <cell r="EM31" t="b">
            <v>0</v>
          </cell>
          <cell r="EN31" t="b">
            <v>0</v>
          </cell>
          <cell r="EO31">
            <v>7</v>
          </cell>
          <cell r="EP31" t="b">
            <v>0</v>
          </cell>
          <cell r="EQ31" t="b">
            <v>0</v>
          </cell>
        </row>
        <row r="32">
          <cell r="A32">
            <v>8</v>
          </cell>
          <cell r="B32">
            <v>0</v>
          </cell>
          <cell r="C32">
            <v>4</v>
          </cell>
          <cell r="D32">
            <v>8</v>
          </cell>
          <cell r="E32">
            <v>0</v>
          </cell>
          <cell r="F32">
            <v>0</v>
          </cell>
          <cell r="G32">
            <v>8</v>
          </cell>
          <cell r="H32">
            <v>2</v>
          </cell>
          <cell r="I32">
            <v>3</v>
          </cell>
          <cell r="J32">
            <v>8</v>
          </cell>
          <cell r="K32">
            <v>2</v>
          </cell>
          <cell r="L32">
            <v>0</v>
          </cell>
          <cell r="M32">
            <v>8</v>
          </cell>
          <cell r="N32">
            <v>2</v>
          </cell>
          <cell r="O32">
            <v>1</v>
          </cell>
          <cell r="P32">
            <v>8</v>
          </cell>
          <cell r="Q32">
            <v>0</v>
          </cell>
          <cell r="R32">
            <v>6</v>
          </cell>
          <cell r="S32">
            <v>8</v>
          </cell>
          <cell r="T32">
            <v>0</v>
          </cell>
          <cell r="U32">
            <v>0</v>
          </cell>
          <cell r="V32">
            <v>8</v>
          </cell>
          <cell r="W32">
            <v>6</v>
          </cell>
          <cell r="X32">
            <v>4</v>
          </cell>
          <cell r="Y32">
            <v>8</v>
          </cell>
          <cell r="Z32">
            <v>2</v>
          </cell>
          <cell r="AA32">
            <v>0</v>
          </cell>
          <cell r="AB32">
            <v>8</v>
          </cell>
          <cell r="AC32">
            <v>2</v>
          </cell>
          <cell r="AD32">
            <v>0</v>
          </cell>
          <cell r="AE32">
            <v>8</v>
          </cell>
          <cell r="AF32">
            <v>2</v>
          </cell>
          <cell r="AG32">
            <v>2</v>
          </cell>
          <cell r="AH32">
            <v>8</v>
          </cell>
          <cell r="AI32">
            <v>1</v>
          </cell>
          <cell r="AJ32">
            <v>0</v>
          </cell>
          <cell r="AK32">
            <v>8</v>
          </cell>
          <cell r="AL32">
            <v>0</v>
          </cell>
          <cell r="AM32">
            <v>0</v>
          </cell>
          <cell r="AN32">
            <v>8</v>
          </cell>
          <cell r="AO32">
            <v>0</v>
          </cell>
          <cell r="AP32">
            <v>0</v>
          </cell>
          <cell r="AQ32">
            <v>8</v>
          </cell>
          <cell r="AR32">
            <v>9</v>
          </cell>
          <cell r="AS32">
            <v>0</v>
          </cell>
          <cell r="AT32">
            <v>8</v>
          </cell>
          <cell r="AU32">
            <v>0</v>
          </cell>
          <cell r="AV32">
            <v>4</v>
          </cell>
          <cell r="AW32">
            <v>8</v>
          </cell>
          <cell r="AX32">
            <v>2</v>
          </cell>
          <cell r="AY32">
            <v>2</v>
          </cell>
          <cell r="AZ32">
            <v>8</v>
          </cell>
          <cell r="BA32">
            <v>0</v>
          </cell>
          <cell r="BB32">
            <v>3</v>
          </cell>
          <cell r="BC32">
            <v>8</v>
          </cell>
          <cell r="BD32">
            <v>4</v>
          </cell>
          <cell r="BE32">
            <v>3</v>
          </cell>
          <cell r="BF32">
            <v>8</v>
          </cell>
          <cell r="BG32">
            <v>3</v>
          </cell>
          <cell r="BH32">
            <v>1</v>
          </cell>
          <cell r="BI32">
            <v>8</v>
          </cell>
          <cell r="BJ32">
            <v>0</v>
          </cell>
          <cell r="BK32">
            <v>2</v>
          </cell>
          <cell r="BL32">
            <v>8</v>
          </cell>
          <cell r="BM32">
            <v>1</v>
          </cell>
          <cell r="BN32">
            <v>1</v>
          </cell>
          <cell r="BO32">
            <v>8</v>
          </cell>
          <cell r="BP32">
            <v>6</v>
          </cell>
          <cell r="BQ32">
            <v>2</v>
          </cell>
          <cell r="BR32">
            <v>8</v>
          </cell>
          <cell r="BS32">
            <v>4</v>
          </cell>
          <cell r="BT32">
            <v>9</v>
          </cell>
          <cell r="BU32">
            <v>8</v>
          </cell>
          <cell r="BV32">
            <v>8</v>
          </cell>
          <cell r="BW32">
            <v>2</v>
          </cell>
          <cell r="BX32">
            <v>8</v>
          </cell>
          <cell r="BY32">
            <v>3</v>
          </cell>
          <cell r="BZ32">
            <v>0</v>
          </cell>
          <cell r="CA32">
            <v>8</v>
          </cell>
          <cell r="CB32">
            <v>5</v>
          </cell>
          <cell r="CC32">
            <v>2</v>
          </cell>
          <cell r="CD32">
            <v>8</v>
          </cell>
          <cell r="CE32">
            <v>3</v>
          </cell>
          <cell r="CF32">
            <v>0</v>
          </cell>
          <cell r="CG32">
            <v>8</v>
          </cell>
          <cell r="CH32">
            <v>5</v>
          </cell>
          <cell r="CI32">
            <v>2</v>
          </cell>
          <cell r="CJ32">
            <v>8</v>
          </cell>
          <cell r="CK32">
            <v>2</v>
          </cell>
          <cell r="CL32">
            <v>2</v>
          </cell>
          <cell r="CM32">
            <v>8</v>
          </cell>
          <cell r="CN32">
            <v>0</v>
          </cell>
          <cell r="CO32">
            <v>0</v>
          </cell>
          <cell r="CP32">
            <v>8</v>
          </cell>
          <cell r="CQ32">
            <v>5</v>
          </cell>
          <cell r="CR32">
            <v>1</v>
          </cell>
          <cell r="CS32">
            <v>8</v>
          </cell>
          <cell r="CT32" t="b">
            <v>0</v>
          </cell>
          <cell r="CU32" t="b">
            <v>0</v>
          </cell>
          <cell r="CV32">
            <v>8</v>
          </cell>
          <cell r="CW32">
            <v>7</v>
          </cell>
          <cell r="CX32">
            <v>1</v>
          </cell>
          <cell r="CY32">
            <v>8</v>
          </cell>
          <cell r="CZ32">
            <v>6</v>
          </cell>
          <cell r="DA32">
            <v>0</v>
          </cell>
          <cell r="DB32">
            <v>8</v>
          </cell>
          <cell r="DC32">
            <v>0</v>
          </cell>
          <cell r="DD32">
            <v>8</v>
          </cell>
          <cell r="DE32">
            <v>8</v>
          </cell>
          <cell r="DF32">
            <v>2</v>
          </cell>
          <cell r="DG32">
            <v>1</v>
          </cell>
          <cell r="DH32">
            <v>8</v>
          </cell>
          <cell r="DI32">
            <v>0</v>
          </cell>
          <cell r="DJ32">
            <v>1</v>
          </cell>
          <cell r="DK32">
            <v>8</v>
          </cell>
          <cell r="DL32">
            <v>0</v>
          </cell>
          <cell r="DM32">
            <v>0</v>
          </cell>
          <cell r="DN32">
            <v>8</v>
          </cell>
          <cell r="DO32">
            <v>3</v>
          </cell>
          <cell r="DP32">
            <v>0</v>
          </cell>
          <cell r="DQ32">
            <v>8</v>
          </cell>
          <cell r="DR32">
            <v>0</v>
          </cell>
          <cell r="DS32">
            <v>0</v>
          </cell>
          <cell r="DT32">
            <v>8</v>
          </cell>
          <cell r="DU32">
            <v>0</v>
          </cell>
          <cell r="DV32">
            <v>0</v>
          </cell>
          <cell r="DW32">
            <v>8</v>
          </cell>
          <cell r="DX32" t="b">
            <v>0</v>
          </cell>
          <cell r="DY32" t="b">
            <v>0</v>
          </cell>
          <cell r="DZ32">
            <v>8</v>
          </cell>
          <cell r="EA32" t="b">
            <v>0</v>
          </cell>
          <cell r="EB32" t="b">
            <v>0</v>
          </cell>
          <cell r="EC32">
            <v>8</v>
          </cell>
          <cell r="ED32" t="b">
            <v>0</v>
          </cell>
          <cell r="EE32" t="b">
            <v>0</v>
          </cell>
          <cell r="EF32">
            <v>8</v>
          </cell>
          <cell r="EG32" t="b">
            <v>0</v>
          </cell>
          <cell r="EH32" t="b">
            <v>0</v>
          </cell>
          <cell r="EI32">
            <v>8</v>
          </cell>
          <cell r="EJ32" t="b">
            <v>0</v>
          </cell>
          <cell r="EK32" t="b">
            <v>0</v>
          </cell>
          <cell r="EL32">
            <v>8</v>
          </cell>
          <cell r="EM32" t="b">
            <v>0</v>
          </cell>
          <cell r="EN32" t="b">
            <v>0</v>
          </cell>
          <cell r="EO32">
            <v>8</v>
          </cell>
          <cell r="EP32" t="b">
            <v>0</v>
          </cell>
          <cell r="EQ32" t="b">
            <v>0</v>
          </cell>
        </row>
        <row r="33">
          <cell r="A33">
            <v>9</v>
          </cell>
          <cell r="B33">
            <v>0</v>
          </cell>
          <cell r="C33">
            <v>1</v>
          </cell>
          <cell r="D33">
            <v>9</v>
          </cell>
          <cell r="E33">
            <v>0</v>
          </cell>
          <cell r="F33">
            <v>0</v>
          </cell>
          <cell r="G33">
            <v>9</v>
          </cell>
          <cell r="H33">
            <v>3</v>
          </cell>
          <cell r="I33">
            <v>7</v>
          </cell>
          <cell r="J33">
            <v>9</v>
          </cell>
          <cell r="K33">
            <v>0</v>
          </cell>
          <cell r="L33">
            <v>0</v>
          </cell>
          <cell r="M33">
            <v>9</v>
          </cell>
          <cell r="N33">
            <v>0</v>
          </cell>
          <cell r="O33">
            <v>8</v>
          </cell>
          <cell r="P33">
            <v>9</v>
          </cell>
          <cell r="Q33">
            <v>0</v>
          </cell>
          <cell r="R33">
            <v>1</v>
          </cell>
          <cell r="S33">
            <v>9</v>
          </cell>
          <cell r="T33">
            <v>0</v>
          </cell>
          <cell r="U33">
            <v>0</v>
          </cell>
          <cell r="V33">
            <v>9</v>
          </cell>
          <cell r="W33">
            <v>5</v>
          </cell>
          <cell r="X33">
            <v>5</v>
          </cell>
          <cell r="Y33">
            <v>9</v>
          </cell>
          <cell r="Z33">
            <v>1</v>
          </cell>
          <cell r="AA33">
            <v>0</v>
          </cell>
          <cell r="AB33">
            <v>9</v>
          </cell>
          <cell r="AC33" t="b">
            <v>0</v>
          </cell>
          <cell r="AD33" t="b">
            <v>0</v>
          </cell>
          <cell r="AE33">
            <v>9</v>
          </cell>
          <cell r="AF33">
            <v>6</v>
          </cell>
          <cell r="AG33">
            <v>3</v>
          </cell>
          <cell r="AH33">
            <v>9</v>
          </cell>
          <cell r="AI33" t="b">
            <v>0</v>
          </cell>
          <cell r="AJ33" t="b">
            <v>0</v>
          </cell>
          <cell r="AK33">
            <v>9</v>
          </cell>
          <cell r="AL33">
            <v>0</v>
          </cell>
          <cell r="AM33">
            <v>0</v>
          </cell>
          <cell r="AN33">
            <v>9</v>
          </cell>
          <cell r="AO33">
            <v>0</v>
          </cell>
          <cell r="AP33">
            <v>0</v>
          </cell>
          <cell r="AQ33">
            <v>9</v>
          </cell>
          <cell r="AR33">
            <v>14</v>
          </cell>
          <cell r="AS33">
            <v>0</v>
          </cell>
          <cell r="AT33">
            <v>9</v>
          </cell>
          <cell r="AU33">
            <v>0</v>
          </cell>
          <cell r="AV33">
            <v>4</v>
          </cell>
          <cell r="AW33">
            <v>9</v>
          </cell>
          <cell r="AX33">
            <v>0</v>
          </cell>
          <cell r="AY33">
            <v>2</v>
          </cell>
          <cell r="AZ33">
            <v>9</v>
          </cell>
          <cell r="BA33">
            <v>0</v>
          </cell>
          <cell r="BB33">
            <v>1</v>
          </cell>
          <cell r="BC33">
            <v>9</v>
          </cell>
          <cell r="BD33">
            <v>8</v>
          </cell>
          <cell r="BE33">
            <v>5</v>
          </cell>
          <cell r="BF33">
            <v>9</v>
          </cell>
          <cell r="BG33">
            <v>3</v>
          </cell>
          <cell r="BH33">
            <v>6</v>
          </cell>
          <cell r="BI33">
            <v>9</v>
          </cell>
          <cell r="BJ33">
            <v>0</v>
          </cell>
          <cell r="BK33">
            <v>7</v>
          </cell>
          <cell r="BL33">
            <v>9</v>
          </cell>
          <cell r="BM33">
            <v>3</v>
          </cell>
          <cell r="BN33">
            <v>2</v>
          </cell>
          <cell r="BO33">
            <v>9</v>
          </cell>
          <cell r="BP33">
            <v>9</v>
          </cell>
          <cell r="BQ33">
            <v>10</v>
          </cell>
          <cell r="BR33">
            <v>9</v>
          </cell>
          <cell r="BS33">
            <v>1</v>
          </cell>
          <cell r="BT33">
            <v>11</v>
          </cell>
          <cell r="BU33">
            <v>9</v>
          </cell>
          <cell r="BV33">
            <v>7</v>
          </cell>
          <cell r="BW33">
            <v>9</v>
          </cell>
          <cell r="BX33">
            <v>9</v>
          </cell>
          <cell r="BY33">
            <v>3</v>
          </cell>
          <cell r="BZ33">
            <v>0</v>
          </cell>
          <cell r="CA33">
            <v>9</v>
          </cell>
          <cell r="CB33">
            <v>3</v>
          </cell>
          <cell r="CC33">
            <v>5</v>
          </cell>
          <cell r="CD33">
            <v>9</v>
          </cell>
          <cell r="CE33">
            <v>1</v>
          </cell>
          <cell r="CF33">
            <v>0</v>
          </cell>
          <cell r="CG33">
            <v>9</v>
          </cell>
          <cell r="CH33">
            <v>4</v>
          </cell>
          <cell r="CI33">
            <v>0</v>
          </cell>
          <cell r="CJ33">
            <v>9</v>
          </cell>
          <cell r="CK33">
            <v>0</v>
          </cell>
          <cell r="CL33">
            <v>1</v>
          </cell>
          <cell r="CM33">
            <v>9</v>
          </cell>
          <cell r="CN33">
            <v>0</v>
          </cell>
          <cell r="CO33">
            <v>0</v>
          </cell>
          <cell r="CP33">
            <v>9</v>
          </cell>
          <cell r="CQ33">
            <v>3</v>
          </cell>
          <cell r="CR33">
            <v>3</v>
          </cell>
          <cell r="CS33">
            <v>9</v>
          </cell>
          <cell r="CT33">
            <v>0</v>
          </cell>
          <cell r="CU33">
            <v>0</v>
          </cell>
          <cell r="CV33">
            <v>9</v>
          </cell>
          <cell r="CW33">
            <v>6</v>
          </cell>
          <cell r="CX33">
            <v>2</v>
          </cell>
          <cell r="CY33">
            <v>9</v>
          </cell>
          <cell r="CZ33">
            <v>2</v>
          </cell>
          <cell r="DA33">
            <v>0</v>
          </cell>
          <cell r="DB33">
            <v>9</v>
          </cell>
          <cell r="DC33">
            <v>0</v>
          </cell>
          <cell r="DD33">
            <v>3</v>
          </cell>
          <cell r="DE33">
            <v>9</v>
          </cell>
          <cell r="DF33">
            <v>4</v>
          </cell>
          <cell r="DG33">
            <v>2</v>
          </cell>
          <cell r="DH33">
            <v>9</v>
          </cell>
          <cell r="DI33">
            <v>0</v>
          </cell>
          <cell r="DJ33">
            <v>0</v>
          </cell>
          <cell r="DK33">
            <v>9</v>
          </cell>
          <cell r="DL33">
            <v>0</v>
          </cell>
          <cell r="DM33">
            <v>0</v>
          </cell>
          <cell r="DN33">
            <v>9</v>
          </cell>
          <cell r="DO33">
            <v>1</v>
          </cell>
          <cell r="DP33">
            <v>0</v>
          </cell>
          <cell r="DQ33">
            <v>9</v>
          </cell>
          <cell r="DR33">
            <v>0</v>
          </cell>
          <cell r="DS33">
            <v>0</v>
          </cell>
          <cell r="DT33">
            <v>9</v>
          </cell>
          <cell r="DU33">
            <v>0</v>
          </cell>
          <cell r="DV33">
            <v>0</v>
          </cell>
          <cell r="DW33">
            <v>9</v>
          </cell>
          <cell r="DX33" t="b">
            <v>0</v>
          </cell>
          <cell r="DY33" t="b">
            <v>0</v>
          </cell>
          <cell r="DZ33">
            <v>9</v>
          </cell>
          <cell r="EA33" t="b">
            <v>0</v>
          </cell>
          <cell r="EB33" t="b">
            <v>0</v>
          </cell>
          <cell r="EC33">
            <v>9</v>
          </cell>
          <cell r="ED33" t="b">
            <v>0</v>
          </cell>
          <cell r="EE33" t="b">
            <v>0</v>
          </cell>
          <cell r="EF33">
            <v>9</v>
          </cell>
          <cell r="EG33" t="b">
            <v>0</v>
          </cell>
          <cell r="EH33" t="b">
            <v>0</v>
          </cell>
          <cell r="EI33">
            <v>9</v>
          </cell>
          <cell r="EJ33" t="b">
            <v>0</v>
          </cell>
          <cell r="EK33" t="b">
            <v>0</v>
          </cell>
          <cell r="EL33">
            <v>9</v>
          </cell>
          <cell r="EM33" t="b">
            <v>0</v>
          </cell>
          <cell r="EN33" t="b">
            <v>0</v>
          </cell>
          <cell r="EO33">
            <v>9</v>
          </cell>
          <cell r="EP33" t="b">
            <v>0</v>
          </cell>
          <cell r="EQ33" t="b">
            <v>0</v>
          </cell>
        </row>
        <row r="34">
          <cell r="A34">
            <v>10</v>
          </cell>
          <cell r="B34">
            <v>0</v>
          </cell>
          <cell r="C34">
            <v>3</v>
          </cell>
          <cell r="D34">
            <v>10</v>
          </cell>
          <cell r="E34">
            <v>0</v>
          </cell>
          <cell r="F34">
            <v>0</v>
          </cell>
          <cell r="G34">
            <v>10</v>
          </cell>
          <cell r="H34">
            <v>5</v>
          </cell>
          <cell r="I34">
            <v>7</v>
          </cell>
          <cell r="J34">
            <v>10</v>
          </cell>
          <cell r="K34">
            <v>0</v>
          </cell>
          <cell r="L34">
            <v>0</v>
          </cell>
          <cell r="M34">
            <v>10</v>
          </cell>
          <cell r="N34">
            <v>0</v>
          </cell>
          <cell r="O34">
            <v>2</v>
          </cell>
          <cell r="P34">
            <v>10</v>
          </cell>
          <cell r="Q34">
            <v>1</v>
          </cell>
          <cell r="R34">
            <v>0</v>
          </cell>
          <cell r="S34">
            <v>10</v>
          </cell>
          <cell r="T34">
            <v>0</v>
          </cell>
          <cell r="U34">
            <v>0</v>
          </cell>
          <cell r="V34">
            <v>10</v>
          </cell>
          <cell r="W34">
            <v>2</v>
          </cell>
          <cell r="X34">
            <v>11</v>
          </cell>
          <cell r="Y34">
            <v>10</v>
          </cell>
          <cell r="Z34">
            <v>3</v>
          </cell>
          <cell r="AA34">
            <v>6</v>
          </cell>
          <cell r="AB34">
            <v>10</v>
          </cell>
          <cell r="AC34">
            <v>1</v>
          </cell>
          <cell r="AD34">
            <v>0</v>
          </cell>
          <cell r="AE34">
            <v>10</v>
          </cell>
          <cell r="AF34">
            <v>2</v>
          </cell>
          <cell r="AG34">
            <v>1</v>
          </cell>
          <cell r="AH34">
            <v>10</v>
          </cell>
          <cell r="AI34">
            <v>3</v>
          </cell>
          <cell r="AJ34">
            <v>0</v>
          </cell>
          <cell r="AK34">
            <v>10</v>
          </cell>
          <cell r="AL34">
            <v>0</v>
          </cell>
          <cell r="AM34">
            <v>0</v>
          </cell>
          <cell r="AN34">
            <v>10</v>
          </cell>
          <cell r="AO34">
            <v>0</v>
          </cell>
          <cell r="AP34">
            <v>2</v>
          </cell>
          <cell r="AQ34">
            <v>10</v>
          </cell>
          <cell r="AR34">
            <v>22</v>
          </cell>
          <cell r="AS34">
            <v>5</v>
          </cell>
          <cell r="AT34">
            <v>10</v>
          </cell>
          <cell r="AU34">
            <v>0</v>
          </cell>
          <cell r="AV34">
            <v>2</v>
          </cell>
          <cell r="AW34">
            <v>10</v>
          </cell>
          <cell r="AX34">
            <v>0</v>
          </cell>
          <cell r="AY34">
            <v>3</v>
          </cell>
          <cell r="AZ34">
            <v>10</v>
          </cell>
          <cell r="BA34">
            <v>1</v>
          </cell>
          <cell r="BB34">
            <v>1</v>
          </cell>
          <cell r="BC34">
            <v>10</v>
          </cell>
          <cell r="BD34">
            <v>3</v>
          </cell>
          <cell r="BE34">
            <v>7</v>
          </cell>
          <cell r="BF34">
            <v>10</v>
          </cell>
          <cell r="BG34">
            <v>0</v>
          </cell>
          <cell r="BH34">
            <v>2</v>
          </cell>
          <cell r="BI34">
            <v>10</v>
          </cell>
          <cell r="BJ34">
            <v>0</v>
          </cell>
          <cell r="BK34">
            <v>4</v>
          </cell>
          <cell r="BL34">
            <v>10</v>
          </cell>
          <cell r="BM34">
            <v>2</v>
          </cell>
          <cell r="BN34">
            <v>7</v>
          </cell>
          <cell r="BO34">
            <v>10</v>
          </cell>
          <cell r="BP34">
            <v>3</v>
          </cell>
          <cell r="BQ34">
            <v>7</v>
          </cell>
          <cell r="BR34">
            <v>10</v>
          </cell>
          <cell r="BS34">
            <v>2</v>
          </cell>
          <cell r="BT34">
            <v>8</v>
          </cell>
          <cell r="BU34">
            <v>10</v>
          </cell>
          <cell r="BV34">
            <v>6</v>
          </cell>
          <cell r="BW34">
            <v>11</v>
          </cell>
          <cell r="BX34">
            <v>10</v>
          </cell>
          <cell r="BY34">
            <v>3</v>
          </cell>
          <cell r="BZ34">
            <v>0</v>
          </cell>
          <cell r="CA34">
            <v>10</v>
          </cell>
          <cell r="CB34">
            <v>3</v>
          </cell>
          <cell r="CC34">
            <v>7</v>
          </cell>
          <cell r="CD34">
            <v>10</v>
          </cell>
          <cell r="CE34">
            <v>8</v>
          </cell>
          <cell r="CF34">
            <v>0</v>
          </cell>
          <cell r="CG34">
            <v>10</v>
          </cell>
          <cell r="CH34">
            <v>5</v>
          </cell>
          <cell r="CI34">
            <v>2</v>
          </cell>
          <cell r="CJ34">
            <v>10</v>
          </cell>
          <cell r="CK34">
            <v>0</v>
          </cell>
          <cell r="CL34">
            <v>1</v>
          </cell>
          <cell r="CM34">
            <v>10</v>
          </cell>
          <cell r="CN34">
            <v>0</v>
          </cell>
          <cell r="CO34">
            <v>0</v>
          </cell>
          <cell r="CP34">
            <v>10</v>
          </cell>
          <cell r="CQ34">
            <v>1</v>
          </cell>
          <cell r="CR34">
            <v>6</v>
          </cell>
          <cell r="CS34">
            <v>10</v>
          </cell>
          <cell r="CT34">
            <v>0</v>
          </cell>
          <cell r="CU34">
            <v>0</v>
          </cell>
          <cell r="CV34">
            <v>10</v>
          </cell>
          <cell r="CW34">
            <v>4</v>
          </cell>
          <cell r="CX34">
            <v>10</v>
          </cell>
          <cell r="CY34">
            <v>10</v>
          </cell>
          <cell r="CZ34">
            <v>0</v>
          </cell>
          <cell r="DA34">
            <v>1</v>
          </cell>
          <cell r="DB34">
            <v>10</v>
          </cell>
          <cell r="DC34">
            <v>0</v>
          </cell>
          <cell r="DD34">
            <v>1</v>
          </cell>
          <cell r="DE34">
            <v>10</v>
          </cell>
          <cell r="DF34">
            <v>4</v>
          </cell>
          <cell r="DG34">
            <v>5</v>
          </cell>
          <cell r="DH34">
            <v>10</v>
          </cell>
          <cell r="DI34">
            <v>0</v>
          </cell>
          <cell r="DJ34">
            <v>0</v>
          </cell>
          <cell r="DK34">
            <v>10</v>
          </cell>
          <cell r="DL34">
            <v>0</v>
          </cell>
          <cell r="DM34">
            <v>0</v>
          </cell>
          <cell r="DN34">
            <v>10</v>
          </cell>
          <cell r="DO34">
            <v>4</v>
          </cell>
          <cell r="DP34">
            <v>0</v>
          </cell>
          <cell r="DQ34">
            <v>10</v>
          </cell>
          <cell r="DR34">
            <v>0</v>
          </cell>
          <cell r="DS34">
            <v>0</v>
          </cell>
          <cell r="DT34">
            <v>10</v>
          </cell>
          <cell r="DU34">
            <v>0</v>
          </cell>
          <cell r="DV34">
            <v>0</v>
          </cell>
          <cell r="DW34">
            <v>10</v>
          </cell>
          <cell r="DX34" t="b">
            <v>0</v>
          </cell>
          <cell r="DY34" t="b">
            <v>0</v>
          </cell>
          <cell r="DZ34">
            <v>10</v>
          </cell>
          <cell r="EA34" t="b">
            <v>0</v>
          </cell>
          <cell r="EB34" t="b">
            <v>0</v>
          </cell>
          <cell r="EC34">
            <v>10</v>
          </cell>
          <cell r="ED34" t="b">
            <v>0</v>
          </cell>
          <cell r="EE34" t="b">
            <v>0</v>
          </cell>
          <cell r="EF34">
            <v>10</v>
          </cell>
          <cell r="EG34" t="b">
            <v>0</v>
          </cell>
          <cell r="EH34" t="b">
            <v>0</v>
          </cell>
          <cell r="EI34">
            <v>10</v>
          </cell>
          <cell r="EJ34" t="b">
            <v>0</v>
          </cell>
          <cell r="EK34" t="b">
            <v>0</v>
          </cell>
          <cell r="EL34">
            <v>10</v>
          </cell>
          <cell r="EM34" t="b">
            <v>0</v>
          </cell>
          <cell r="EN34" t="b">
            <v>0</v>
          </cell>
          <cell r="EO34">
            <v>10</v>
          </cell>
          <cell r="EP34" t="b">
            <v>0</v>
          </cell>
          <cell r="EQ34" t="b">
            <v>0</v>
          </cell>
        </row>
        <row r="35">
          <cell r="A35">
            <v>11</v>
          </cell>
          <cell r="B35" t="b">
            <v>0</v>
          </cell>
          <cell r="C35" t="b">
            <v>0</v>
          </cell>
          <cell r="D35">
            <v>11</v>
          </cell>
          <cell r="E35">
            <v>0</v>
          </cell>
          <cell r="F35">
            <v>0</v>
          </cell>
          <cell r="G35">
            <v>11</v>
          </cell>
          <cell r="H35">
            <v>1</v>
          </cell>
          <cell r="I35">
            <v>5</v>
          </cell>
          <cell r="J35">
            <v>11</v>
          </cell>
          <cell r="K35">
            <v>4</v>
          </cell>
          <cell r="L35">
            <v>0</v>
          </cell>
          <cell r="M35">
            <v>11</v>
          </cell>
          <cell r="N35">
            <v>1</v>
          </cell>
          <cell r="O35">
            <v>0</v>
          </cell>
          <cell r="P35">
            <v>11</v>
          </cell>
          <cell r="Q35">
            <v>0</v>
          </cell>
          <cell r="R35">
            <v>0</v>
          </cell>
          <cell r="S35">
            <v>11</v>
          </cell>
          <cell r="T35">
            <v>4</v>
          </cell>
          <cell r="U35">
            <v>0</v>
          </cell>
          <cell r="V35">
            <v>11</v>
          </cell>
          <cell r="W35">
            <v>0</v>
          </cell>
          <cell r="X35">
            <v>1</v>
          </cell>
          <cell r="Y35">
            <v>11</v>
          </cell>
          <cell r="Z35">
            <v>1</v>
          </cell>
          <cell r="AA35">
            <v>4</v>
          </cell>
          <cell r="AB35">
            <v>11</v>
          </cell>
          <cell r="AC35">
            <v>5</v>
          </cell>
          <cell r="AD35">
            <v>0</v>
          </cell>
          <cell r="AE35">
            <v>11</v>
          </cell>
          <cell r="AF35">
            <v>0</v>
          </cell>
          <cell r="AG35">
            <v>1</v>
          </cell>
          <cell r="AH35">
            <v>11</v>
          </cell>
          <cell r="AI35">
            <v>2</v>
          </cell>
          <cell r="AJ35">
            <v>0</v>
          </cell>
          <cell r="AK35">
            <v>11</v>
          </cell>
          <cell r="AL35">
            <v>0</v>
          </cell>
          <cell r="AM35">
            <v>0</v>
          </cell>
          <cell r="AN35">
            <v>11</v>
          </cell>
          <cell r="AO35">
            <v>0</v>
          </cell>
          <cell r="AP35">
            <v>0</v>
          </cell>
          <cell r="AQ35">
            <v>11</v>
          </cell>
          <cell r="AR35">
            <v>11</v>
          </cell>
          <cell r="AS35">
            <v>1</v>
          </cell>
          <cell r="AT35">
            <v>11</v>
          </cell>
          <cell r="AU35" t="b">
            <v>0</v>
          </cell>
          <cell r="AV35" t="b">
            <v>0</v>
          </cell>
          <cell r="AW35">
            <v>11</v>
          </cell>
          <cell r="AX35" t="b">
            <v>0</v>
          </cell>
          <cell r="AY35" t="b">
            <v>0</v>
          </cell>
          <cell r="AZ35">
            <v>11</v>
          </cell>
          <cell r="BA35">
            <v>0</v>
          </cell>
          <cell r="BB35">
            <v>0</v>
          </cell>
          <cell r="BC35">
            <v>11</v>
          </cell>
          <cell r="BD35">
            <v>1</v>
          </cell>
          <cell r="BE35">
            <v>3</v>
          </cell>
          <cell r="BF35">
            <v>11</v>
          </cell>
          <cell r="BG35">
            <v>1</v>
          </cell>
          <cell r="BH35">
            <v>1</v>
          </cell>
          <cell r="BI35">
            <v>11</v>
          </cell>
          <cell r="BJ35">
            <v>0</v>
          </cell>
          <cell r="BK35">
            <v>1</v>
          </cell>
          <cell r="BL35">
            <v>11</v>
          </cell>
          <cell r="BM35">
            <v>0</v>
          </cell>
          <cell r="BN35">
            <v>2</v>
          </cell>
          <cell r="BO35">
            <v>11</v>
          </cell>
          <cell r="BP35">
            <v>1</v>
          </cell>
          <cell r="BQ35">
            <v>3</v>
          </cell>
          <cell r="BR35">
            <v>11</v>
          </cell>
          <cell r="BS35">
            <v>0</v>
          </cell>
          <cell r="BT35">
            <v>6</v>
          </cell>
          <cell r="BU35">
            <v>11</v>
          </cell>
          <cell r="BV35">
            <v>2</v>
          </cell>
          <cell r="BW35">
            <v>7</v>
          </cell>
          <cell r="BX35">
            <v>11</v>
          </cell>
          <cell r="BY35">
            <v>5</v>
          </cell>
          <cell r="BZ35">
            <v>0</v>
          </cell>
          <cell r="CA35">
            <v>11</v>
          </cell>
          <cell r="CB35">
            <v>0</v>
          </cell>
          <cell r="CC35">
            <v>3</v>
          </cell>
          <cell r="CD35">
            <v>11</v>
          </cell>
          <cell r="CE35">
            <v>4</v>
          </cell>
          <cell r="CF35">
            <v>1</v>
          </cell>
          <cell r="CG35">
            <v>11</v>
          </cell>
          <cell r="CH35">
            <v>3</v>
          </cell>
          <cell r="CI35">
            <v>5</v>
          </cell>
          <cell r="CJ35">
            <v>11</v>
          </cell>
          <cell r="CK35">
            <v>0</v>
          </cell>
          <cell r="CL35">
            <v>1</v>
          </cell>
          <cell r="CM35">
            <v>11</v>
          </cell>
          <cell r="CN35">
            <v>0</v>
          </cell>
          <cell r="CO35">
            <v>0</v>
          </cell>
          <cell r="CP35">
            <v>11</v>
          </cell>
          <cell r="CQ35">
            <v>0</v>
          </cell>
          <cell r="CR35">
            <v>1</v>
          </cell>
          <cell r="CS35">
            <v>11</v>
          </cell>
          <cell r="CT35">
            <v>0</v>
          </cell>
          <cell r="CU35">
            <v>0</v>
          </cell>
          <cell r="CV35">
            <v>11</v>
          </cell>
          <cell r="CW35">
            <v>0</v>
          </cell>
          <cell r="CX35">
            <v>2</v>
          </cell>
          <cell r="CY35">
            <v>11</v>
          </cell>
          <cell r="CZ35">
            <v>0</v>
          </cell>
          <cell r="DA35">
            <v>1</v>
          </cell>
          <cell r="DB35">
            <v>11</v>
          </cell>
          <cell r="DC35">
            <v>0</v>
          </cell>
          <cell r="DD35">
            <v>1</v>
          </cell>
          <cell r="DE35">
            <v>11</v>
          </cell>
          <cell r="DF35">
            <v>0</v>
          </cell>
          <cell r="DG35">
            <v>4</v>
          </cell>
          <cell r="DH35">
            <v>11</v>
          </cell>
          <cell r="DI35">
            <v>0</v>
          </cell>
          <cell r="DJ35">
            <v>0</v>
          </cell>
          <cell r="DK35">
            <v>11</v>
          </cell>
          <cell r="DL35">
            <v>0</v>
          </cell>
          <cell r="DM35">
            <v>0</v>
          </cell>
          <cell r="DN35">
            <v>11</v>
          </cell>
          <cell r="DO35">
            <v>3</v>
          </cell>
          <cell r="DP35">
            <v>1</v>
          </cell>
          <cell r="DQ35">
            <v>11</v>
          </cell>
          <cell r="DR35">
            <v>0</v>
          </cell>
          <cell r="DS35">
            <v>0</v>
          </cell>
          <cell r="DT35">
            <v>11</v>
          </cell>
          <cell r="DU35">
            <v>0</v>
          </cell>
          <cell r="DV35">
            <v>0</v>
          </cell>
          <cell r="DW35">
            <v>11</v>
          </cell>
          <cell r="DX35" t="b">
            <v>0</v>
          </cell>
          <cell r="DY35" t="b">
            <v>0</v>
          </cell>
          <cell r="DZ35">
            <v>11</v>
          </cell>
          <cell r="EA35" t="b">
            <v>0</v>
          </cell>
          <cell r="EB35" t="b">
            <v>0</v>
          </cell>
          <cell r="EC35">
            <v>11</v>
          </cell>
          <cell r="ED35" t="b">
            <v>0</v>
          </cell>
          <cell r="EE35" t="b">
            <v>0</v>
          </cell>
          <cell r="EF35">
            <v>11</v>
          </cell>
          <cell r="EG35" t="b">
            <v>0</v>
          </cell>
          <cell r="EH35" t="b">
            <v>0</v>
          </cell>
          <cell r="EI35">
            <v>11</v>
          </cell>
          <cell r="EJ35" t="b">
            <v>0</v>
          </cell>
          <cell r="EK35" t="b">
            <v>0</v>
          </cell>
          <cell r="EL35">
            <v>11</v>
          </cell>
          <cell r="EM35" t="b">
            <v>0</v>
          </cell>
          <cell r="EN35" t="b">
            <v>0</v>
          </cell>
          <cell r="EO35">
            <v>11</v>
          </cell>
          <cell r="EP35" t="b">
            <v>0</v>
          </cell>
          <cell r="EQ35" t="b">
            <v>0</v>
          </cell>
        </row>
        <row r="36">
          <cell r="A36">
            <v>12</v>
          </cell>
          <cell r="B36">
            <v>0</v>
          </cell>
          <cell r="C36">
            <v>0</v>
          </cell>
          <cell r="D36">
            <v>12</v>
          </cell>
          <cell r="E36">
            <v>0</v>
          </cell>
          <cell r="F36">
            <v>0</v>
          </cell>
          <cell r="G36">
            <v>12</v>
          </cell>
          <cell r="H36">
            <v>0</v>
          </cell>
          <cell r="I36">
            <v>4</v>
          </cell>
          <cell r="J36">
            <v>12</v>
          </cell>
          <cell r="K36">
            <v>0</v>
          </cell>
          <cell r="L36">
            <v>0</v>
          </cell>
          <cell r="M36">
            <v>12</v>
          </cell>
          <cell r="N36">
            <v>0</v>
          </cell>
          <cell r="O36">
            <v>0</v>
          </cell>
          <cell r="P36">
            <v>12</v>
          </cell>
          <cell r="Q36">
            <v>0</v>
          </cell>
          <cell r="R36">
            <v>0</v>
          </cell>
          <cell r="S36">
            <v>12</v>
          </cell>
          <cell r="T36">
            <v>3</v>
          </cell>
          <cell r="U36">
            <v>0</v>
          </cell>
          <cell r="V36">
            <v>12</v>
          </cell>
          <cell r="W36">
            <v>0</v>
          </cell>
          <cell r="X36">
            <v>4</v>
          </cell>
          <cell r="Y36">
            <v>12</v>
          </cell>
          <cell r="Z36">
            <v>0</v>
          </cell>
          <cell r="AA36">
            <v>2</v>
          </cell>
          <cell r="AB36">
            <v>12</v>
          </cell>
          <cell r="AC36">
            <v>1</v>
          </cell>
          <cell r="AD36">
            <v>0</v>
          </cell>
          <cell r="AE36">
            <v>12</v>
          </cell>
          <cell r="AF36">
            <v>0</v>
          </cell>
          <cell r="AG36">
            <v>0</v>
          </cell>
          <cell r="AH36">
            <v>12</v>
          </cell>
          <cell r="AI36">
            <v>4</v>
          </cell>
          <cell r="AJ36">
            <v>0</v>
          </cell>
          <cell r="AK36">
            <v>12</v>
          </cell>
          <cell r="AL36">
            <v>0</v>
          </cell>
          <cell r="AM36">
            <v>0</v>
          </cell>
          <cell r="AN36">
            <v>12</v>
          </cell>
          <cell r="AO36">
            <v>0</v>
          </cell>
          <cell r="AP36">
            <v>1</v>
          </cell>
          <cell r="AQ36">
            <v>12</v>
          </cell>
          <cell r="AR36">
            <v>7</v>
          </cell>
          <cell r="AS36">
            <v>2</v>
          </cell>
          <cell r="AT36">
            <v>12</v>
          </cell>
          <cell r="AU36">
            <v>0</v>
          </cell>
          <cell r="AV36">
            <v>0</v>
          </cell>
          <cell r="AW36">
            <v>12</v>
          </cell>
          <cell r="AX36">
            <v>0</v>
          </cell>
          <cell r="AY36">
            <v>0</v>
          </cell>
          <cell r="AZ36">
            <v>12</v>
          </cell>
          <cell r="BA36">
            <v>0</v>
          </cell>
          <cell r="BB36">
            <v>0</v>
          </cell>
          <cell r="BC36">
            <v>12</v>
          </cell>
          <cell r="BD36">
            <v>1</v>
          </cell>
          <cell r="BE36">
            <v>1</v>
          </cell>
          <cell r="BF36">
            <v>12</v>
          </cell>
          <cell r="BG36">
            <v>0</v>
          </cell>
          <cell r="BH36">
            <v>0</v>
          </cell>
          <cell r="BI36">
            <v>12</v>
          </cell>
          <cell r="BJ36">
            <v>0</v>
          </cell>
          <cell r="BK36">
            <v>2</v>
          </cell>
          <cell r="BL36">
            <v>12</v>
          </cell>
          <cell r="BM36">
            <v>0</v>
          </cell>
          <cell r="BN36">
            <v>3</v>
          </cell>
          <cell r="BO36">
            <v>12</v>
          </cell>
          <cell r="BP36">
            <v>0</v>
          </cell>
          <cell r="BQ36">
            <v>2</v>
          </cell>
          <cell r="BR36">
            <v>12</v>
          </cell>
          <cell r="BS36">
            <v>0</v>
          </cell>
          <cell r="BT36">
            <v>7</v>
          </cell>
          <cell r="BU36">
            <v>12</v>
          </cell>
          <cell r="BV36">
            <v>0</v>
          </cell>
          <cell r="BW36">
            <v>4</v>
          </cell>
          <cell r="BX36">
            <v>12</v>
          </cell>
          <cell r="BY36">
            <v>0</v>
          </cell>
          <cell r="BZ36">
            <v>1</v>
          </cell>
          <cell r="CA36">
            <v>12</v>
          </cell>
          <cell r="CB36">
            <v>0</v>
          </cell>
          <cell r="CC36">
            <v>4</v>
          </cell>
          <cell r="CD36">
            <v>12</v>
          </cell>
          <cell r="CE36">
            <v>4</v>
          </cell>
          <cell r="CF36">
            <v>0</v>
          </cell>
          <cell r="CG36">
            <v>12</v>
          </cell>
          <cell r="CH36">
            <v>1</v>
          </cell>
          <cell r="CI36">
            <v>5</v>
          </cell>
          <cell r="CJ36">
            <v>12</v>
          </cell>
          <cell r="CK36" t="b">
            <v>0</v>
          </cell>
          <cell r="CL36" t="b">
            <v>0</v>
          </cell>
          <cell r="CM36">
            <v>12</v>
          </cell>
          <cell r="CN36">
            <v>0</v>
          </cell>
          <cell r="CO36">
            <v>0</v>
          </cell>
          <cell r="CP36">
            <v>12</v>
          </cell>
          <cell r="CQ36" t="b">
            <v>0</v>
          </cell>
          <cell r="CR36" t="b">
            <v>0</v>
          </cell>
          <cell r="CS36">
            <v>12</v>
          </cell>
          <cell r="CT36">
            <v>0</v>
          </cell>
          <cell r="CU36">
            <v>0</v>
          </cell>
          <cell r="CV36">
            <v>12</v>
          </cell>
          <cell r="CW36">
            <v>0</v>
          </cell>
          <cell r="CX36">
            <v>2</v>
          </cell>
          <cell r="CY36">
            <v>12</v>
          </cell>
          <cell r="CZ36">
            <v>0</v>
          </cell>
          <cell r="DA36">
            <v>0</v>
          </cell>
          <cell r="DB36">
            <v>12</v>
          </cell>
          <cell r="DC36">
            <v>0</v>
          </cell>
          <cell r="DD36">
            <v>0</v>
          </cell>
          <cell r="DE36">
            <v>12</v>
          </cell>
          <cell r="DF36">
            <v>0</v>
          </cell>
          <cell r="DG36">
            <v>2</v>
          </cell>
          <cell r="DH36">
            <v>12</v>
          </cell>
          <cell r="DI36">
            <v>0</v>
          </cell>
          <cell r="DJ36">
            <v>0</v>
          </cell>
          <cell r="DK36">
            <v>12</v>
          </cell>
          <cell r="DL36">
            <v>0</v>
          </cell>
          <cell r="DM36">
            <v>0</v>
          </cell>
          <cell r="DN36">
            <v>12</v>
          </cell>
          <cell r="DO36">
            <v>4</v>
          </cell>
          <cell r="DP36">
            <v>2</v>
          </cell>
          <cell r="DQ36">
            <v>12</v>
          </cell>
          <cell r="DR36">
            <v>0</v>
          </cell>
          <cell r="DS36">
            <v>0</v>
          </cell>
          <cell r="DT36">
            <v>12</v>
          </cell>
          <cell r="DU36">
            <v>0</v>
          </cell>
          <cell r="DV36">
            <v>0</v>
          </cell>
          <cell r="DW36">
            <v>12</v>
          </cell>
          <cell r="DX36" t="b">
            <v>0</v>
          </cell>
          <cell r="DY36" t="b">
            <v>0</v>
          </cell>
          <cell r="DZ36">
            <v>12</v>
          </cell>
          <cell r="EA36" t="b">
            <v>0</v>
          </cell>
          <cell r="EB36" t="b">
            <v>0</v>
          </cell>
          <cell r="EC36">
            <v>12</v>
          </cell>
          <cell r="ED36" t="b">
            <v>0</v>
          </cell>
          <cell r="EE36" t="b">
            <v>0</v>
          </cell>
          <cell r="EF36">
            <v>12</v>
          </cell>
          <cell r="EG36" t="b">
            <v>0</v>
          </cell>
          <cell r="EH36" t="b">
            <v>0</v>
          </cell>
          <cell r="EI36">
            <v>12</v>
          </cell>
          <cell r="EJ36" t="b">
            <v>0</v>
          </cell>
          <cell r="EK36" t="b">
            <v>0</v>
          </cell>
          <cell r="EL36">
            <v>12</v>
          </cell>
          <cell r="EM36" t="b">
            <v>0</v>
          </cell>
          <cell r="EN36" t="b">
            <v>0</v>
          </cell>
          <cell r="EO36">
            <v>12</v>
          </cell>
          <cell r="EP36" t="b">
            <v>0</v>
          </cell>
          <cell r="EQ36" t="b">
            <v>0</v>
          </cell>
        </row>
        <row r="37">
          <cell r="A37">
            <v>13</v>
          </cell>
          <cell r="B37">
            <v>0</v>
          </cell>
          <cell r="C37">
            <v>0</v>
          </cell>
          <cell r="D37">
            <v>13</v>
          </cell>
          <cell r="E37">
            <v>0</v>
          </cell>
          <cell r="F37">
            <v>0</v>
          </cell>
          <cell r="G37">
            <v>13</v>
          </cell>
          <cell r="H37" t="b">
            <v>0</v>
          </cell>
          <cell r="I37" t="b">
            <v>0</v>
          </cell>
          <cell r="J37">
            <v>13</v>
          </cell>
          <cell r="K37">
            <v>7</v>
          </cell>
          <cell r="L37">
            <v>2</v>
          </cell>
          <cell r="M37">
            <v>13</v>
          </cell>
          <cell r="N37" t="b">
            <v>0</v>
          </cell>
          <cell r="O37" t="b">
            <v>0</v>
          </cell>
          <cell r="P37">
            <v>13</v>
          </cell>
          <cell r="Q37">
            <v>0</v>
          </cell>
          <cell r="R37">
            <v>0</v>
          </cell>
          <cell r="S37">
            <v>13</v>
          </cell>
          <cell r="T37">
            <v>7</v>
          </cell>
          <cell r="U37">
            <v>0</v>
          </cell>
          <cell r="V37">
            <v>13</v>
          </cell>
          <cell r="W37" t="b">
            <v>0</v>
          </cell>
          <cell r="X37" t="b">
            <v>0</v>
          </cell>
          <cell r="Y37">
            <v>13</v>
          </cell>
          <cell r="Z37">
            <v>0</v>
          </cell>
          <cell r="AA37">
            <v>4</v>
          </cell>
          <cell r="AB37">
            <v>13</v>
          </cell>
          <cell r="AC37">
            <v>12</v>
          </cell>
          <cell r="AD37">
            <v>1</v>
          </cell>
          <cell r="AE37">
            <v>13</v>
          </cell>
          <cell r="AF37">
            <v>0</v>
          </cell>
          <cell r="AG37">
            <v>0</v>
          </cell>
          <cell r="AH37">
            <v>13</v>
          </cell>
          <cell r="AI37">
            <v>1</v>
          </cell>
          <cell r="AJ37">
            <v>0</v>
          </cell>
          <cell r="AK37">
            <v>13</v>
          </cell>
          <cell r="AL37">
            <v>0</v>
          </cell>
          <cell r="AM37">
            <v>0</v>
          </cell>
          <cell r="AN37">
            <v>13</v>
          </cell>
          <cell r="AO37">
            <v>0</v>
          </cell>
          <cell r="AP37">
            <v>0</v>
          </cell>
          <cell r="AQ37">
            <v>13</v>
          </cell>
          <cell r="AR37">
            <v>2</v>
          </cell>
          <cell r="AS37">
            <v>1</v>
          </cell>
          <cell r="AT37">
            <v>13</v>
          </cell>
          <cell r="AU37">
            <v>0</v>
          </cell>
          <cell r="AV37">
            <v>0</v>
          </cell>
          <cell r="AW37">
            <v>13</v>
          </cell>
          <cell r="AX37">
            <v>0</v>
          </cell>
          <cell r="AY37">
            <v>0</v>
          </cell>
          <cell r="AZ37">
            <v>13</v>
          </cell>
          <cell r="BA37">
            <v>0</v>
          </cell>
          <cell r="BB37">
            <v>0</v>
          </cell>
          <cell r="BC37">
            <v>13</v>
          </cell>
          <cell r="BD37">
            <v>0</v>
          </cell>
          <cell r="BE37">
            <v>1</v>
          </cell>
          <cell r="BF37">
            <v>13</v>
          </cell>
          <cell r="BG37">
            <v>0</v>
          </cell>
          <cell r="BH37">
            <v>0</v>
          </cell>
          <cell r="BI37">
            <v>13</v>
          </cell>
          <cell r="BJ37">
            <v>0</v>
          </cell>
          <cell r="BK37">
            <v>0</v>
          </cell>
          <cell r="BL37">
            <v>13</v>
          </cell>
          <cell r="BM37" t="b">
            <v>0</v>
          </cell>
          <cell r="BN37" t="b">
            <v>0</v>
          </cell>
          <cell r="BO37">
            <v>13</v>
          </cell>
          <cell r="BP37">
            <v>0</v>
          </cell>
          <cell r="BQ37">
            <v>1</v>
          </cell>
          <cell r="BR37">
            <v>13</v>
          </cell>
          <cell r="BS37">
            <v>0</v>
          </cell>
          <cell r="BT37">
            <v>3</v>
          </cell>
          <cell r="BU37">
            <v>13</v>
          </cell>
          <cell r="BV37">
            <v>0</v>
          </cell>
          <cell r="BW37">
            <v>2</v>
          </cell>
          <cell r="BX37">
            <v>13</v>
          </cell>
          <cell r="BY37">
            <v>4</v>
          </cell>
          <cell r="BZ37">
            <v>2</v>
          </cell>
          <cell r="CA37">
            <v>13</v>
          </cell>
          <cell r="CB37">
            <v>0</v>
          </cell>
          <cell r="CC37">
            <v>0</v>
          </cell>
          <cell r="CD37">
            <v>13</v>
          </cell>
          <cell r="CE37">
            <v>1</v>
          </cell>
          <cell r="CF37">
            <v>4</v>
          </cell>
          <cell r="CG37">
            <v>13</v>
          </cell>
          <cell r="CH37">
            <v>0</v>
          </cell>
          <cell r="CI37">
            <v>3</v>
          </cell>
          <cell r="CJ37">
            <v>13</v>
          </cell>
          <cell r="CK37">
            <v>0</v>
          </cell>
          <cell r="CL37">
            <v>0</v>
          </cell>
          <cell r="CM37">
            <v>13</v>
          </cell>
          <cell r="CN37">
            <v>0</v>
          </cell>
          <cell r="CO37">
            <v>0</v>
          </cell>
          <cell r="CP37">
            <v>13</v>
          </cell>
          <cell r="CQ37">
            <v>0</v>
          </cell>
          <cell r="CR37">
            <v>0</v>
          </cell>
          <cell r="CS37">
            <v>13</v>
          </cell>
          <cell r="CT37">
            <v>1</v>
          </cell>
          <cell r="CU37">
            <v>0</v>
          </cell>
          <cell r="CV37">
            <v>13</v>
          </cell>
          <cell r="CW37">
            <v>0</v>
          </cell>
          <cell r="CX37">
            <v>0</v>
          </cell>
          <cell r="CY37">
            <v>13</v>
          </cell>
          <cell r="CZ37">
            <v>0</v>
          </cell>
          <cell r="DA37">
            <v>0</v>
          </cell>
          <cell r="DB37">
            <v>13</v>
          </cell>
          <cell r="DC37">
            <v>0</v>
          </cell>
          <cell r="DD37">
            <v>0</v>
          </cell>
          <cell r="DE37">
            <v>13</v>
          </cell>
          <cell r="DF37">
            <v>0</v>
          </cell>
          <cell r="DG37">
            <v>0</v>
          </cell>
          <cell r="DH37">
            <v>13</v>
          </cell>
          <cell r="DI37">
            <v>0</v>
          </cell>
          <cell r="DJ37">
            <v>0</v>
          </cell>
          <cell r="DK37">
            <v>13</v>
          </cell>
          <cell r="DL37">
            <v>0</v>
          </cell>
          <cell r="DM37">
            <v>0</v>
          </cell>
          <cell r="DN37">
            <v>13</v>
          </cell>
          <cell r="DO37">
            <v>2</v>
          </cell>
          <cell r="DP37">
            <v>2</v>
          </cell>
          <cell r="DQ37">
            <v>13</v>
          </cell>
          <cell r="DR37">
            <v>0</v>
          </cell>
          <cell r="DS37">
            <v>0</v>
          </cell>
          <cell r="DT37">
            <v>13</v>
          </cell>
          <cell r="DU37">
            <v>0</v>
          </cell>
          <cell r="DV37">
            <v>0</v>
          </cell>
          <cell r="DW37">
            <v>13</v>
          </cell>
          <cell r="DX37" t="b">
            <v>0</v>
          </cell>
          <cell r="DY37" t="b">
            <v>0</v>
          </cell>
          <cell r="DZ37">
            <v>13</v>
          </cell>
          <cell r="EA37" t="b">
            <v>0</v>
          </cell>
          <cell r="EB37" t="b">
            <v>0</v>
          </cell>
          <cell r="EC37">
            <v>13</v>
          </cell>
          <cell r="ED37" t="b">
            <v>0</v>
          </cell>
          <cell r="EE37" t="b">
            <v>0</v>
          </cell>
          <cell r="EF37">
            <v>13</v>
          </cell>
          <cell r="EG37" t="b">
            <v>0</v>
          </cell>
          <cell r="EH37" t="b">
            <v>0</v>
          </cell>
          <cell r="EI37">
            <v>13</v>
          </cell>
          <cell r="EJ37" t="b">
            <v>0</v>
          </cell>
          <cell r="EK37" t="b">
            <v>0</v>
          </cell>
          <cell r="EL37">
            <v>13</v>
          </cell>
          <cell r="EM37" t="b">
            <v>0</v>
          </cell>
          <cell r="EN37" t="b">
            <v>0</v>
          </cell>
          <cell r="EO37">
            <v>13</v>
          </cell>
          <cell r="EP37" t="b">
            <v>0</v>
          </cell>
          <cell r="EQ37" t="b">
            <v>0</v>
          </cell>
        </row>
        <row r="38">
          <cell r="A38">
            <v>14</v>
          </cell>
          <cell r="B38">
            <v>0</v>
          </cell>
          <cell r="C38">
            <v>0</v>
          </cell>
          <cell r="D38">
            <v>14</v>
          </cell>
          <cell r="E38">
            <v>0</v>
          </cell>
          <cell r="F38">
            <v>0</v>
          </cell>
          <cell r="G38">
            <v>14</v>
          </cell>
          <cell r="H38">
            <v>0</v>
          </cell>
          <cell r="I38">
            <v>0</v>
          </cell>
          <cell r="J38">
            <v>14</v>
          </cell>
          <cell r="K38">
            <v>2</v>
          </cell>
          <cell r="L38">
            <v>3</v>
          </cell>
          <cell r="M38">
            <v>14</v>
          </cell>
          <cell r="N38">
            <v>0</v>
          </cell>
          <cell r="O38">
            <v>0</v>
          </cell>
          <cell r="P38">
            <v>14</v>
          </cell>
          <cell r="Q38">
            <v>0</v>
          </cell>
          <cell r="R38">
            <v>0</v>
          </cell>
          <cell r="S38">
            <v>14</v>
          </cell>
          <cell r="T38">
            <v>8</v>
          </cell>
          <cell r="U38">
            <v>0</v>
          </cell>
          <cell r="V38">
            <v>14</v>
          </cell>
          <cell r="W38">
            <v>0</v>
          </cell>
          <cell r="X38">
            <v>1</v>
          </cell>
          <cell r="Y38">
            <v>14</v>
          </cell>
          <cell r="Z38">
            <v>0</v>
          </cell>
          <cell r="AA38">
            <v>1</v>
          </cell>
          <cell r="AB38">
            <v>14</v>
          </cell>
          <cell r="AC38">
            <v>6</v>
          </cell>
          <cell r="AD38">
            <v>1</v>
          </cell>
          <cell r="AE38">
            <v>14</v>
          </cell>
          <cell r="AF38">
            <v>0</v>
          </cell>
          <cell r="AG38">
            <v>0</v>
          </cell>
          <cell r="AH38">
            <v>14</v>
          </cell>
          <cell r="AI38">
            <v>8</v>
          </cell>
          <cell r="AJ38">
            <v>1</v>
          </cell>
          <cell r="AK38">
            <v>14</v>
          </cell>
          <cell r="AL38">
            <v>0</v>
          </cell>
          <cell r="AM38">
            <v>0</v>
          </cell>
          <cell r="AN38">
            <v>14</v>
          </cell>
          <cell r="AO38">
            <v>0</v>
          </cell>
          <cell r="AP38">
            <v>0</v>
          </cell>
          <cell r="AQ38">
            <v>14</v>
          </cell>
          <cell r="AR38">
            <v>1</v>
          </cell>
          <cell r="AS38">
            <v>1</v>
          </cell>
          <cell r="AT38">
            <v>14</v>
          </cell>
          <cell r="AU38">
            <v>0</v>
          </cell>
          <cell r="AV38">
            <v>0</v>
          </cell>
          <cell r="AW38">
            <v>14</v>
          </cell>
          <cell r="AX38">
            <v>0</v>
          </cell>
          <cell r="AY38">
            <v>0</v>
          </cell>
          <cell r="AZ38">
            <v>14</v>
          </cell>
          <cell r="BA38">
            <v>0</v>
          </cell>
          <cell r="BB38">
            <v>0</v>
          </cell>
          <cell r="BC38">
            <v>14</v>
          </cell>
          <cell r="BD38">
            <v>0</v>
          </cell>
          <cell r="BE38">
            <v>0</v>
          </cell>
          <cell r="BF38">
            <v>14</v>
          </cell>
          <cell r="BG38">
            <v>0</v>
          </cell>
          <cell r="BH38">
            <v>0</v>
          </cell>
          <cell r="BI38">
            <v>14</v>
          </cell>
          <cell r="BJ38">
            <v>0</v>
          </cell>
          <cell r="BK38">
            <v>2</v>
          </cell>
          <cell r="BL38">
            <v>14</v>
          </cell>
          <cell r="BM38">
            <v>0</v>
          </cell>
          <cell r="BN38">
            <v>0</v>
          </cell>
          <cell r="BO38">
            <v>14</v>
          </cell>
          <cell r="BP38">
            <v>0</v>
          </cell>
          <cell r="BQ38">
            <v>0</v>
          </cell>
          <cell r="BR38">
            <v>14</v>
          </cell>
          <cell r="BS38" t="b">
            <v>0</v>
          </cell>
          <cell r="BT38" t="b">
            <v>0</v>
          </cell>
          <cell r="BU38">
            <v>14</v>
          </cell>
          <cell r="BV38">
            <v>0</v>
          </cell>
          <cell r="BW38">
            <v>1</v>
          </cell>
          <cell r="BX38">
            <v>14</v>
          </cell>
          <cell r="BY38">
            <v>1</v>
          </cell>
          <cell r="BZ38">
            <v>0</v>
          </cell>
          <cell r="CA38">
            <v>14</v>
          </cell>
          <cell r="CB38">
            <v>0</v>
          </cell>
          <cell r="CC38">
            <v>0</v>
          </cell>
          <cell r="CD38">
            <v>14</v>
          </cell>
          <cell r="CE38">
            <v>2</v>
          </cell>
          <cell r="CF38">
            <v>1</v>
          </cell>
          <cell r="CG38">
            <v>14</v>
          </cell>
          <cell r="CH38">
            <v>0</v>
          </cell>
          <cell r="CI38">
            <v>0</v>
          </cell>
          <cell r="CJ38">
            <v>14</v>
          </cell>
          <cell r="CK38">
            <v>0</v>
          </cell>
          <cell r="CL38">
            <v>0</v>
          </cell>
          <cell r="CM38">
            <v>14</v>
          </cell>
          <cell r="CN38">
            <v>0</v>
          </cell>
          <cell r="CO38">
            <v>0</v>
          </cell>
          <cell r="CP38">
            <v>14</v>
          </cell>
          <cell r="CQ38">
            <v>0</v>
          </cell>
          <cell r="CR38">
            <v>0</v>
          </cell>
          <cell r="CS38">
            <v>14</v>
          </cell>
          <cell r="CT38">
            <v>2</v>
          </cell>
          <cell r="CU38">
            <v>0</v>
          </cell>
          <cell r="CV38">
            <v>14</v>
          </cell>
          <cell r="CW38">
            <v>0</v>
          </cell>
          <cell r="CX38">
            <v>0</v>
          </cell>
          <cell r="CY38">
            <v>14</v>
          </cell>
          <cell r="CZ38">
            <v>0</v>
          </cell>
          <cell r="DA38">
            <v>0</v>
          </cell>
          <cell r="DB38">
            <v>14</v>
          </cell>
          <cell r="DC38">
            <v>0</v>
          </cell>
          <cell r="DD38">
            <v>0</v>
          </cell>
          <cell r="DE38">
            <v>14</v>
          </cell>
          <cell r="DF38">
            <v>0</v>
          </cell>
          <cell r="DG38">
            <v>0</v>
          </cell>
          <cell r="DH38">
            <v>14</v>
          </cell>
          <cell r="DI38">
            <v>0</v>
          </cell>
          <cell r="DJ38">
            <v>0</v>
          </cell>
          <cell r="DK38">
            <v>14</v>
          </cell>
          <cell r="DL38">
            <v>0</v>
          </cell>
          <cell r="DM38">
            <v>0</v>
          </cell>
          <cell r="DN38">
            <v>14</v>
          </cell>
          <cell r="DO38">
            <v>0</v>
          </cell>
          <cell r="DP38">
            <v>1</v>
          </cell>
          <cell r="DQ38">
            <v>14</v>
          </cell>
          <cell r="DR38">
            <v>0</v>
          </cell>
          <cell r="DS38">
            <v>0</v>
          </cell>
          <cell r="DT38">
            <v>14</v>
          </cell>
          <cell r="DU38">
            <v>0</v>
          </cell>
          <cell r="DV38">
            <v>0</v>
          </cell>
          <cell r="DW38">
            <v>14</v>
          </cell>
          <cell r="DX38" t="b">
            <v>0</v>
          </cell>
          <cell r="DY38" t="b">
            <v>0</v>
          </cell>
          <cell r="DZ38">
            <v>14</v>
          </cell>
          <cell r="EA38" t="b">
            <v>0</v>
          </cell>
          <cell r="EB38" t="b">
            <v>0</v>
          </cell>
          <cell r="EC38">
            <v>14</v>
          </cell>
          <cell r="ED38" t="b">
            <v>0</v>
          </cell>
          <cell r="EE38" t="b">
            <v>0</v>
          </cell>
          <cell r="EF38">
            <v>14</v>
          </cell>
          <cell r="EG38" t="b">
            <v>0</v>
          </cell>
          <cell r="EH38" t="b">
            <v>0</v>
          </cell>
          <cell r="EI38">
            <v>14</v>
          </cell>
          <cell r="EJ38" t="b">
            <v>0</v>
          </cell>
          <cell r="EK38" t="b">
            <v>0</v>
          </cell>
          <cell r="EL38">
            <v>14</v>
          </cell>
          <cell r="EM38" t="b">
            <v>0</v>
          </cell>
          <cell r="EN38" t="b">
            <v>0</v>
          </cell>
          <cell r="EO38">
            <v>14</v>
          </cell>
          <cell r="EP38" t="b">
            <v>0</v>
          </cell>
          <cell r="EQ38" t="b">
            <v>0</v>
          </cell>
        </row>
        <row r="39">
          <cell r="A39">
            <v>15</v>
          </cell>
          <cell r="B39">
            <v>0</v>
          </cell>
          <cell r="C39">
            <v>0</v>
          </cell>
          <cell r="D39">
            <v>15</v>
          </cell>
          <cell r="E39">
            <v>0</v>
          </cell>
          <cell r="F39">
            <v>0</v>
          </cell>
          <cell r="G39">
            <v>15</v>
          </cell>
          <cell r="H39">
            <v>0</v>
          </cell>
          <cell r="I39">
            <v>1</v>
          </cell>
          <cell r="J39">
            <v>15</v>
          </cell>
          <cell r="K39">
            <v>4</v>
          </cell>
          <cell r="L39">
            <v>0</v>
          </cell>
          <cell r="M39">
            <v>15</v>
          </cell>
          <cell r="N39">
            <v>0</v>
          </cell>
          <cell r="O39">
            <v>0</v>
          </cell>
          <cell r="P39">
            <v>15</v>
          </cell>
          <cell r="Q39">
            <v>0</v>
          </cell>
          <cell r="R39">
            <v>0</v>
          </cell>
          <cell r="S39">
            <v>15</v>
          </cell>
          <cell r="T39">
            <v>11</v>
          </cell>
          <cell r="U39">
            <v>0</v>
          </cell>
          <cell r="V39">
            <v>15</v>
          </cell>
          <cell r="W39">
            <v>0</v>
          </cell>
          <cell r="X39">
            <v>0</v>
          </cell>
          <cell r="Y39">
            <v>15</v>
          </cell>
          <cell r="Z39">
            <v>0</v>
          </cell>
          <cell r="AA39">
            <v>0</v>
          </cell>
          <cell r="AB39">
            <v>15</v>
          </cell>
          <cell r="AC39">
            <v>4</v>
          </cell>
          <cell r="AD39">
            <v>7</v>
          </cell>
          <cell r="AE39">
            <v>15</v>
          </cell>
          <cell r="AF39">
            <v>0</v>
          </cell>
          <cell r="AG39">
            <v>0</v>
          </cell>
          <cell r="AH39">
            <v>15</v>
          </cell>
          <cell r="AI39">
            <v>8</v>
          </cell>
          <cell r="AJ39">
            <v>1</v>
          </cell>
          <cell r="AK39">
            <v>15</v>
          </cell>
          <cell r="AL39">
            <v>0</v>
          </cell>
          <cell r="AM39">
            <v>0</v>
          </cell>
          <cell r="AN39">
            <v>15</v>
          </cell>
          <cell r="AO39">
            <v>0</v>
          </cell>
          <cell r="AP39">
            <v>0</v>
          </cell>
          <cell r="AQ39">
            <v>15</v>
          </cell>
          <cell r="AR39">
            <v>0</v>
          </cell>
          <cell r="AS39">
            <v>1</v>
          </cell>
          <cell r="AT39">
            <v>15</v>
          </cell>
          <cell r="AU39">
            <v>0</v>
          </cell>
          <cell r="AV39">
            <v>0</v>
          </cell>
          <cell r="AW39">
            <v>15</v>
          </cell>
          <cell r="AX39">
            <v>0</v>
          </cell>
          <cell r="AY39">
            <v>0</v>
          </cell>
          <cell r="AZ39">
            <v>15</v>
          </cell>
          <cell r="BA39">
            <v>0</v>
          </cell>
          <cell r="BB39">
            <v>0</v>
          </cell>
          <cell r="BC39">
            <v>15</v>
          </cell>
          <cell r="BD39">
            <v>0</v>
          </cell>
          <cell r="BE39">
            <v>0</v>
          </cell>
          <cell r="BF39">
            <v>15</v>
          </cell>
          <cell r="BG39">
            <v>0</v>
          </cell>
          <cell r="BH39">
            <v>0</v>
          </cell>
          <cell r="BI39">
            <v>15</v>
          </cell>
          <cell r="BJ39">
            <v>0</v>
          </cell>
          <cell r="BK39">
            <v>0</v>
          </cell>
          <cell r="BL39">
            <v>15</v>
          </cell>
          <cell r="BM39">
            <v>0</v>
          </cell>
          <cell r="BN39">
            <v>0</v>
          </cell>
          <cell r="BO39">
            <v>15</v>
          </cell>
          <cell r="BP39" t="b">
            <v>0</v>
          </cell>
          <cell r="BQ39" t="b">
            <v>0</v>
          </cell>
          <cell r="BR39">
            <v>15</v>
          </cell>
          <cell r="BS39">
            <v>0</v>
          </cell>
          <cell r="BT39">
            <v>1</v>
          </cell>
          <cell r="BU39">
            <v>15</v>
          </cell>
          <cell r="BV39">
            <v>0</v>
          </cell>
          <cell r="BW39">
            <v>1</v>
          </cell>
          <cell r="BX39">
            <v>15</v>
          </cell>
          <cell r="BY39">
            <v>1</v>
          </cell>
          <cell r="BZ39">
            <v>0</v>
          </cell>
          <cell r="CA39">
            <v>15</v>
          </cell>
          <cell r="CB39" t="b">
            <v>0</v>
          </cell>
          <cell r="CC39" t="b">
            <v>0</v>
          </cell>
          <cell r="CD39">
            <v>15</v>
          </cell>
          <cell r="CE39">
            <v>0</v>
          </cell>
          <cell r="CF39">
            <v>0</v>
          </cell>
          <cell r="CG39">
            <v>15</v>
          </cell>
          <cell r="CH39">
            <v>0</v>
          </cell>
          <cell r="CI39">
            <v>0</v>
          </cell>
          <cell r="CJ39">
            <v>15</v>
          </cell>
          <cell r="CK39">
            <v>0</v>
          </cell>
          <cell r="CL39">
            <v>0</v>
          </cell>
          <cell r="CM39">
            <v>15</v>
          </cell>
          <cell r="CN39">
            <v>0</v>
          </cell>
          <cell r="CO39">
            <v>0</v>
          </cell>
          <cell r="CP39">
            <v>15</v>
          </cell>
          <cell r="CQ39">
            <v>0</v>
          </cell>
          <cell r="CR39">
            <v>0</v>
          </cell>
          <cell r="CS39">
            <v>15</v>
          </cell>
          <cell r="CT39">
            <v>0</v>
          </cell>
          <cell r="CU39">
            <v>2</v>
          </cell>
          <cell r="CV39">
            <v>15</v>
          </cell>
          <cell r="CW39">
            <v>0</v>
          </cell>
          <cell r="CX39">
            <v>0</v>
          </cell>
          <cell r="CY39">
            <v>15</v>
          </cell>
          <cell r="CZ39">
            <v>0</v>
          </cell>
          <cell r="DA39">
            <v>0</v>
          </cell>
          <cell r="DB39">
            <v>15</v>
          </cell>
          <cell r="DC39">
            <v>0</v>
          </cell>
          <cell r="DD39">
            <v>0</v>
          </cell>
          <cell r="DE39">
            <v>15</v>
          </cell>
          <cell r="DF39">
            <v>0</v>
          </cell>
          <cell r="DG39">
            <v>0</v>
          </cell>
          <cell r="DH39">
            <v>15</v>
          </cell>
          <cell r="DI39">
            <v>0</v>
          </cell>
          <cell r="DJ39">
            <v>0</v>
          </cell>
          <cell r="DK39">
            <v>15</v>
          </cell>
          <cell r="DL39">
            <v>0</v>
          </cell>
          <cell r="DM39">
            <v>0</v>
          </cell>
          <cell r="DN39">
            <v>15</v>
          </cell>
          <cell r="DO39">
            <v>0</v>
          </cell>
          <cell r="DP39">
            <v>3</v>
          </cell>
          <cell r="DQ39">
            <v>15</v>
          </cell>
          <cell r="DR39">
            <v>0</v>
          </cell>
          <cell r="DS39">
            <v>0</v>
          </cell>
          <cell r="DT39">
            <v>15</v>
          </cell>
          <cell r="DU39">
            <v>0</v>
          </cell>
          <cell r="DV39">
            <v>0</v>
          </cell>
          <cell r="DW39">
            <v>15</v>
          </cell>
          <cell r="DX39" t="b">
            <v>0</v>
          </cell>
          <cell r="DY39" t="b">
            <v>0</v>
          </cell>
          <cell r="DZ39">
            <v>15</v>
          </cell>
          <cell r="EA39" t="b">
            <v>0</v>
          </cell>
          <cell r="EB39" t="b">
            <v>0</v>
          </cell>
          <cell r="EC39">
            <v>15</v>
          </cell>
          <cell r="ED39" t="b">
            <v>0</v>
          </cell>
          <cell r="EE39" t="b">
            <v>0</v>
          </cell>
          <cell r="EF39">
            <v>15</v>
          </cell>
          <cell r="EG39" t="b">
            <v>0</v>
          </cell>
          <cell r="EH39" t="b">
            <v>0</v>
          </cell>
          <cell r="EI39">
            <v>15</v>
          </cell>
          <cell r="EJ39" t="b">
            <v>0</v>
          </cell>
          <cell r="EK39" t="b">
            <v>0</v>
          </cell>
          <cell r="EL39">
            <v>15</v>
          </cell>
          <cell r="EM39" t="b">
            <v>0</v>
          </cell>
          <cell r="EN39" t="b">
            <v>0</v>
          </cell>
          <cell r="EO39">
            <v>15</v>
          </cell>
          <cell r="EP39" t="b">
            <v>0</v>
          </cell>
          <cell r="EQ39" t="b">
            <v>0</v>
          </cell>
        </row>
        <row r="40">
          <cell r="A40">
            <v>16</v>
          </cell>
          <cell r="B40">
            <v>0</v>
          </cell>
          <cell r="C40">
            <v>0</v>
          </cell>
          <cell r="D40">
            <v>16</v>
          </cell>
          <cell r="E40">
            <v>0</v>
          </cell>
          <cell r="F40">
            <v>0</v>
          </cell>
          <cell r="G40">
            <v>16</v>
          </cell>
          <cell r="H40">
            <v>0</v>
          </cell>
          <cell r="I40">
            <v>0</v>
          </cell>
          <cell r="J40">
            <v>16</v>
          </cell>
          <cell r="K40">
            <v>1</v>
          </cell>
          <cell r="L40">
            <v>0</v>
          </cell>
          <cell r="M40">
            <v>16</v>
          </cell>
          <cell r="N40">
            <v>0</v>
          </cell>
          <cell r="O40">
            <v>0</v>
          </cell>
          <cell r="P40">
            <v>16</v>
          </cell>
          <cell r="Q40">
            <v>0</v>
          </cell>
          <cell r="R40">
            <v>0</v>
          </cell>
          <cell r="S40">
            <v>16</v>
          </cell>
          <cell r="T40">
            <v>6</v>
          </cell>
          <cell r="U40">
            <v>0</v>
          </cell>
          <cell r="V40">
            <v>16</v>
          </cell>
          <cell r="W40">
            <v>0</v>
          </cell>
          <cell r="X40">
            <v>0</v>
          </cell>
          <cell r="Y40">
            <v>16</v>
          </cell>
          <cell r="Z40">
            <v>0</v>
          </cell>
          <cell r="AA40">
            <v>0</v>
          </cell>
          <cell r="AB40">
            <v>16</v>
          </cell>
          <cell r="AC40">
            <v>2</v>
          </cell>
          <cell r="AD40">
            <v>3</v>
          </cell>
          <cell r="AE40">
            <v>16</v>
          </cell>
          <cell r="AF40">
            <v>0</v>
          </cell>
          <cell r="AG40">
            <v>0</v>
          </cell>
          <cell r="AH40">
            <v>16</v>
          </cell>
          <cell r="AI40">
            <v>7</v>
          </cell>
          <cell r="AJ40">
            <v>2</v>
          </cell>
          <cell r="AK40">
            <v>16</v>
          </cell>
          <cell r="AL40">
            <v>0</v>
          </cell>
          <cell r="AM40">
            <v>0</v>
          </cell>
          <cell r="AN40">
            <v>16</v>
          </cell>
          <cell r="AO40">
            <v>0</v>
          </cell>
          <cell r="AP40">
            <v>0</v>
          </cell>
          <cell r="AQ40">
            <v>16</v>
          </cell>
          <cell r="AR40">
            <v>1</v>
          </cell>
          <cell r="AS40">
            <v>2</v>
          </cell>
          <cell r="AT40">
            <v>16</v>
          </cell>
          <cell r="AU40">
            <v>0</v>
          </cell>
          <cell r="AV40">
            <v>0</v>
          </cell>
          <cell r="AW40">
            <v>16</v>
          </cell>
          <cell r="AX40">
            <v>0</v>
          </cell>
          <cell r="AY40">
            <v>0</v>
          </cell>
          <cell r="AZ40">
            <v>16</v>
          </cell>
          <cell r="BA40">
            <v>0</v>
          </cell>
          <cell r="BB40">
            <v>0</v>
          </cell>
          <cell r="BC40">
            <v>16</v>
          </cell>
          <cell r="BD40">
            <v>0</v>
          </cell>
          <cell r="BE40">
            <v>0</v>
          </cell>
          <cell r="BF40">
            <v>16</v>
          </cell>
          <cell r="BG40">
            <v>0</v>
          </cell>
          <cell r="BH40">
            <v>0</v>
          </cell>
          <cell r="BI40">
            <v>16</v>
          </cell>
          <cell r="BJ40">
            <v>0</v>
          </cell>
          <cell r="BK40">
            <v>0</v>
          </cell>
          <cell r="BL40">
            <v>16</v>
          </cell>
          <cell r="BM40">
            <v>0</v>
          </cell>
          <cell r="BN40">
            <v>1</v>
          </cell>
          <cell r="BO40">
            <v>16</v>
          </cell>
          <cell r="BP40">
            <v>0</v>
          </cell>
          <cell r="BQ40">
            <v>0</v>
          </cell>
          <cell r="BR40">
            <v>16</v>
          </cell>
          <cell r="BS40">
            <v>0</v>
          </cell>
          <cell r="BT40">
            <v>0</v>
          </cell>
          <cell r="BU40">
            <v>16</v>
          </cell>
          <cell r="BV40">
            <v>0</v>
          </cell>
          <cell r="BW40">
            <v>0</v>
          </cell>
          <cell r="BX40">
            <v>16</v>
          </cell>
          <cell r="BY40">
            <v>1</v>
          </cell>
          <cell r="BZ40">
            <v>2</v>
          </cell>
          <cell r="CA40">
            <v>16</v>
          </cell>
          <cell r="CB40">
            <v>0</v>
          </cell>
          <cell r="CC40">
            <v>0</v>
          </cell>
          <cell r="CD40">
            <v>16</v>
          </cell>
          <cell r="CE40">
            <v>1</v>
          </cell>
          <cell r="CF40">
            <v>1</v>
          </cell>
          <cell r="CG40">
            <v>16</v>
          </cell>
          <cell r="CH40">
            <v>0</v>
          </cell>
          <cell r="CI40">
            <v>0</v>
          </cell>
          <cell r="CJ40">
            <v>16</v>
          </cell>
          <cell r="CK40">
            <v>0</v>
          </cell>
          <cell r="CL40">
            <v>0</v>
          </cell>
          <cell r="CM40">
            <v>16</v>
          </cell>
          <cell r="CN40">
            <v>0</v>
          </cell>
          <cell r="CO40">
            <v>0</v>
          </cell>
          <cell r="CP40">
            <v>16</v>
          </cell>
          <cell r="CQ40">
            <v>0</v>
          </cell>
          <cell r="CR40">
            <v>0</v>
          </cell>
          <cell r="CS40">
            <v>16</v>
          </cell>
          <cell r="CT40">
            <v>0</v>
          </cell>
          <cell r="CU40">
            <v>1</v>
          </cell>
          <cell r="CV40">
            <v>16</v>
          </cell>
          <cell r="CW40">
            <v>0</v>
          </cell>
          <cell r="CX40">
            <v>0</v>
          </cell>
          <cell r="CY40">
            <v>16</v>
          </cell>
          <cell r="CZ40">
            <v>0</v>
          </cell>
          <cell r="DA40">
            <v>0</v>
          </cell>
          <cell r="DB40">
            <v>16</v>
          </cell>
          <cell r="DC40">
            <v>0</v>
          </cell>
          <cell r="DD40">
            <v>0</v>
          </cell>
          <cell r="DE40">
            <v>16</v>
          </cell>
          <cell r="DF40">
            <v>0</v>
          </cell>
          <cell r="DG40">
            <v>0</v>
          </cell>
          <cell r="DH40">
            <v>16</v>
          </cell>
          <cell r="DI40">
            <v>0</v>
          </cell>
          <cell r="DJ40">
            <v>0</v>
          </cell>
          <cell r="DK40">
            <v>16</v>
          </cell>
          <cell r="DL40">
            <v>0</v>
          </cell>
          <cell r="DM40">
            <v>0</v>
          </cell>
          <cell r="DN40">
            <v>16</v>
          </cell>
          <cell r="DO40">
            <v>0</v>
          </cell>
          <cell r="DP40">
            <v>4</v>
          </cell>
          <cell r="DQ40">
            <v>16</v>
          </cell>
          <cell r="DR40">
            <v>0</v>
          </cell>
          <cell r="DS40">
            <v>0</v>
          </cell>
          <cell r="DT40">
            <v>16</v>
          </cell>
          <cell r="DU40">
            <v>0</v>
          </cell>
          <cell r="DV40">
            <v>0</v>
          </cell>
          <cell r="DW40">
            <v>16</v>
          </cell>
          <cell r="DX40" t="b">
            <v>0</v>
          </cell>
          <cell r="DY40" t="b">
            <v>0</v>
          </cell>
          <cell r="DZ40">
            <v>16</v>
          </cell>
          <cell r="EA40" t="b">
            <v>0</v>
          </cell>
          <cell r="EB40" t="b">
            <v>0</v>
          </cell>
          <cell r="EC40">
            <v>16</v>
          </cell>
          <cell r="ED40" t="b">
            <v>0</v>
          </cell>
          <cell r="EE40" t="b">
            <v>0</v>
          </cell>
          <cell r="EF40">
            <v>16</v>
          </cell>
          <cell r="EG40" t="b">
            <v>0</v>
          </cell>
          <cell r="EH40" t="b">
            <v>0</v>
          </cell>
          <cell r="EI40">
            <v>16</v>
          </cell>
          <cell r="EJ40" t="b">
            <v>0</v>
          </cell>
          <cell r="EK40" t="b">
            <v>0</v>
          </cell>
          <cell r="EL40">
            <v>16</v>
          </cell>
          <cell r="EM40" t="b">
            <v>0</v>
          </cell>
          <cell r="EN40" t="b">
            <v>0</v>
          </cell>
          <cell r="EO40">
            <v>16</v>
          </cell>
          <cell r="EP40" t="b">
            <v>0</v>
          </cell>
          <cell r="EQ40" t="b">
            <v>0</v>
          </cell>
        </row>
        <row r="41">
          <cell r="A41">
            <v>17</v>
          </cell>
          <cell r="B41">
            <v>0</v>
          </cell>
          <cell r="C41">
            <v>0</v>
          </cell>
          <cell r="D41">
            <v>17</v>
          </cell>
          <cell r="E41">
            <v>0</v>
          </cell>
          <cell r="F41">
            <v>0</v>
          </cell>
          <cell r="G41">
            <v>17</v>
          </cell>
          <cell r="H41">
            <v>0</v>
          </cell>
          <cell r="I41">
            <v>0</v>
          </cell>
          <cell r="J41">
            <v>17</v>
          </cell>
          <cell r="K41">
            <v>0</v>
          </cell>
          <cell r="L41">
            <v>1</v>
          </cell>
          <cell r="M41">
            <v>17</v>
          </cell>
          <cell r="N41">
            <v>0</v>
          </cell>
          <cell r="O41">
            <v>0</v>
          </cell>
          <cell r="P41">
            <v>17</v>
          </cell>
          <cell r="Q41">
            <v>0</v>
          </cell>
          <cell r="R41">
            <v>0</v>
          </cell>
          <cell r="S41">
            <v>17</v>
          </cell>
          <cell r="T41">
            <v>7</v>
          </cell>
          <cell r="U41">
            <v>0</v>
          </cell>
          <cell r="V41">
            <v>17</v>
          </cell>
          <cell r="W41">
            <v>0</v>
          </cell>
          <cell r="X41">
            <v>0</v>
          </cell>
          <cell r="Y41">
            <v>17</v>
          </cell>
          <cell r="Z41">
            <v>0</v>
          </cell>
          <cell r="AA41">
            <v>0</v>
          </cell>
          <cell r="AB41">
            <v>17</v>
          </cell>
          <cell r="AC41">
            <v>1</v>
          </cell>
          <cell r="AD41">
            <v>1</v>
          </cell>
          <cell r="AE41">
            <v>17</v>
          </cell>
          <cell r="AF41">
            <v>0</v>
          </cell>
          <cell r="AG41">
            <v>0</v>
          </cell>
          <cell r="AH41">
            <v>17</v>
          </cell>
          <cell r="AI41">
            <v>3</v>
          </cell>
          <cell r="AJ41">
            <v>1</v>
          </cell>
          <cell r="AK41">
            <v>17</v>
          </cell>
          <cell r="AL41">
            <v>0</v>
          </cell>
          <cell r="AM41">
            <v>0</v>
          </cell>
          <cell r="AN41">
            <v>17</v>
          </cell>
          <cell r="AO41">
            <v>0</v>
          </cell>
          <cell r="AP41">
            <v>0</v>
          </cell>
          <cell r="AQ41">
            <v>17</v>
          </cell>
          <cell r="AR41">
            <v>0</v>
          </cell>
          <cell r="AS41">
            <v>4</v>
          </cell>
          <cell r="AT41">
            <v>17</v>
          </cell>
          <cell r="AU41">
            <v>0</v>
          </cell>
          <cell r="AV41">
            <v>0</v>
          </cell>
          <cell r="AW41">
            <v>17</v>
          </cell>
          <cell r="AX41">
            <v>0</v>
          </cell>
          <cell r="AY41">
            <v>0</v>
          </cell>
          <cell r="AZ41">
            <v>17</v>
          </cell>
          <cell r="BA41">
            <v>0</v>
          </cell>
          <cell r="BB41">
            <v>0</v>
          </cell>
          <cell r="BC41">
            <v>17</v>
          </cell>
          <cell r="BD41">
            <v>0</v>
          </cell>
          <cell r="BE41">
            <v>0</v>
          </cell>
          <cell r="BF41">
            <v>17</v>
          </cell>
          <cell r="BG41">
            <v>0</v>
          </cell>
          <cell r="BH41">
            <v>0</v>
          </cell>
          <cell r="BI41">
            <v>17</v>
          </cell>
          <cell r="BJ41">
            <v>0</v>
          </cell>
          <cell r="BK41">
            <v>0</v>
          </cell>
          <cell r="BL41">
            <v>17</v>
          </cell>
          <cell r="BM41">
            <v>0</v>
          </cell>
          <cell r="BN41">
            <v>0</v>
          </cell>
          <cell r="BO41">
            <v>17</v>
          </cell>
          <cell r="BP41">
            <v>0</v>
          </cell>
          <cell r="BQ41">
            <v>0</v>
          </cell>
          <cell r="BR41">
            <v>17</v>
          </cell>
          <cell r="BS41">
            <v>0</v>
          </cell>
          <cell r="BT41">
            <v>0</v>
          </cell>
          <cell r="BU41">
            <v>17</v>
          </cell>
          <cell r="BV41">
            <v>0</v>
          </cell>
          <cell r="BW41">
            <v>0</v>
          </cell>
          <cell r="BX41">
            <v>17</v>
          </cell>
          <cell r="BY41">
            <v>0</v>
          </cell>
          <cell r="BZ41">
            <v>1</v>
          </cell>
          <cell r="CA41">
            <v>17</v>
          </cell>
          <cell r="CB41">
            <v>0</v>
          </cell>
          <cell r="CC41">
            <v>0</v>
          </cell>
          <cell r="CD41">
            <v>17</v>
          </cell>
          <cell r="CE41">
            <v>0</v>
          </cell>
          <cell r="CF41">
            <v>0</v>
          </cell>
          <cell r="CG41">
            <v>17</v>
          </cell>
          <cell r="CH41">
            <v>0</v>
          </cell>
          <cell r="CI41">
            <v>0</v>
          </cell>
          <cell r="CJ41">
            <v>17</v>
          </cell>
          <cell r="CK41">
            <v>0</v>
          </cell>
          <cell r="CL41">
            <v>0</v>
          </cell>
          <cell r="CM41">
            <v>17</v>
          </cell>
          <cell r="CN41">
            <v>0</v>
          </cell>
          <cell r="CO41">
            <v>0</v>
          </cell>
          <cell r="CP41">
            <v>17</v>
          </cell>
          <cell r="CQ41">
            <v>0</v>
          </cell>
          <cell r="CR41">
            <v>0</v>
          </cell>
          <cell r="CS41">
            <v>17</v>
          </cell>
          <cell r="CT41">
            <v>0</v>
          </cell>
          <cell r="CU41">
            <v>0</v>
          </cell>
          <cell r="CV41">
            <v>17</v>
          </cell>
          <cell r="CW41">
            <v>0</v>
          </cell>
          <cell r="CX41">
            <v>0</v>
          </cell>
          <cell r="CY41">
            <v>17</v>
          </cell>
          <cell r="CZ41">
            <v>0</v>
          </cell>
          <cell r="DA41">
            <v>0</v>
          </cell>
          <cell r="DB41">
            <v>17</v>
          </cell>
          <cell r="DC41">
            <v>0</v>
          </cell>
          <cell r="DD41">
            <v>0</v>
          </cell>
          <cell r="DE41">
            <v>17</v>
          </cell>
          <cell r="DF41">
            <v>0</v>
          </cell>
          <cell r="DG41">
            <v>0</v>
          </cell>
          <cell r="DH41">
            <v>17</v>
          </cell>
          <cell r="DI41">
            <v>0</v>
          </cell>
          <cell r="DJ41">
            <v>0</v>
          </cell>
          <cell r="DK41">
            <v>17</v>
          </cell>
          <cell r="DL41">
            <v>0</v>
          </cell>
          <cell r="DM41">
            <v>0</v>
          </cell>
          <cell r="DN41">
            <v>17</v>
          </cell>
          <cell r="DO41">
            <v>0</v>
          </cell>
          <cell r="DP41">
            <v>0</v>
          </cell>
          <cell r="DQ41">
            <v>17</v>
          </cell>
          <cell r="DR41">
            <v>0</v>
          </cell>
          <cell r="DS41">
            <v>0</v>
          </cell>
          <cell r="DT41">
            <v>17</v>
          </cell>
          <cell r="DU41">
            <v>0</v>
          </cell>
          <cell r="DV41">
            <v>0</v>
          </cell>
          <cell r="DW41">
            <v>17</v>
          </cell>
          <cell r="DX41" t="b">
            <v>0</v>
          </cell>
          <cell r="DY41" t="b">
            <v>0</v>
          </cell>
          <cell r="DZ41">
            <v>17</v>
          </cell>
          <cell r="EA41" t="b">
            <v>0</v>
          </cell>
          <cell r="EB41" t="b">
            <v>0</v>
          </cell>
          <cell r="EC41">
            <v>17</v>
          </cell>
          <cell r="ED41" t="b">
            <v>0</v>
          </cell>
          <cell r="EE41" t="b">
            <v>0</v>
          </cell>
          <cell r="EF41">
            <v>17</v>
          </cell>
          <cell r="EG41" t="b">
            <v>0</v>
          </cell>
          <cell r="EH41" t="b">
            <v>0</v>
          </cell>
          <cell r="EI41">
            <v>17</v>
          </cell>
          <cell r="EJ41" t="b">
            <v>0</v>
          </cell>
          <cell r="EK41" t="b">
            <v>0</v>
          </cell>
          <cell r="EL41">
            <v>17</v>
          </cell>
          <cell r="EM41" t="b">
            <v>0</v>
          </cell>
          <cell r="EN41" t="b">
            <v>0</v>
          </cell>
          <cell r="EO41">
            <v>17</v>
          </cell>
          <cell r="EP41" t="b">
            <v>0</v>
          </cell>
          <cell r="EQ41" t="b">
            <v>0</v>
          </cell>
        </row>
        <row r="42">
          <cell r="A42">
            <v>18</v>
          </cell>
          <cell r="B42">
            <v>0</v>
          </cell>
          <cell r="C42">
            <v>0</v>
          </cell>
          <cell r="D42">
            <v>18</v>
          </cell>
          <cell r="E42">
            <v>0</v>
          </cell>
          <cell r="F42">
            <v>0</v>
          </cell>
          <cell r="G42">
            <v>18</v>
          </cell>
          <cell r="H42">
            <v>0</v>
          </cell>
          <cell r="I42">
            <v>0</v>
          </cell>
          <cell r="J42">
            <v>18</v>
          </cell>
          <cell r="K42">
            <v>0</v>
          </cell>
          <cell r="L42">
            <v>1</v>
          </cell>
          <cell r="M42">
            <v>18</v>
          </cell>
          <cell r="N42">
            <v>0</v>
          </cell>
          <cell r="O42">
            <v>0</v>
          </cell>
          <cell r="P42">
            <v>18</v>
          </cell>
          <cell r="Q42">
            <v>0</v>
          </cell>
          <cell r="R42">
            <v>0</v>
          </cell>
          <cell r="S42">
            <v>18</v>
          </cell>
          <cell r="T42">
            <v>6</v>
          </cell>
          <cell r="U42">
            <v>0</v>
          </cell>
          <cell r="V42">
            <v>18</v>
          </cell>
          <cell r="W42">
            <v>0</v>
          </cell>
          <cell r="X42">
            <v>0</v>
          </cell>
          <cell r="Y42">
            <v>18</v>
          </cell>
          <cell r="Z42">
            <v>0</v>
          </cell>
          <cell r="AA42">
            <v>0</v>
          </cell>
          <cell r="AB42">
            <v>18</v>
          </cell>
          <cell r="AC42">
            <v>0</v>
          </cell>
          <cell r="AD42">
            <v>0</v>
          </cell>
          <cell r="AE42">
            <v>18</v>
          </cell>
          <cell r="AF42">
            <v>0</v>
          </cell>
          <cell r="AG42">
            <v>0</v>
          </cell>
          <cell r="AH42">
            <v>18</v>
          </cell>
          <cell r="AI42">
            <v>0</v>
          </cell>
          <cell r="AJ42">
            <v>5</v>
          </cell>
          <cell r="AK42">
            <v>18</v>
          </cell>
          <cell r="AL42">
            <v>0</v>
          </cell>
          <cell r="AM42">
            <v>0</v>
          </cell>
          <cell r="AN42">
            <v>18</v>
          </cell>
          <cell r="AO42">
            <v>0</v>
          </cell>
          <cell r="AP42">
            <v>0</v>
          </cell>
          <cell r="AQ42">
            <v>18</v>
          </cell>
          <cell r="AR42" t="b">
            <v>0</v>
          </cell>
          <cell r="AS42" t="b">
            <v>0</v>
          </cell>
          <cell r="AT42">
            <v>18</v>
          </cell>
          <cell r="AU42">
            <v>0</v>
          </cell>
          <cell r="AV42">
            <v>0</v>
          </cell>
          <cell r="AW42">
            <v>18</v>
          </cell>
          <cell r="AX42">
            <v>0</v>
          </cell>
          <cell r="AY42">
            <v>0</v>
          </cell>
          <cell r="AZ42">
            <v>18</v>
          </cell>
          <cell r="BA42">
            <v>0</v>
          </cell>
          <cell r="BB42">
            <v>0</v>
          </cell>
          <cell r="BC42">
            <v>18</v>
          </cell>
          <cell r="BD42">
            <v>0</v>
          </cell>
          <cell r="BE42">
            <v>0</v>
          </cell>
          <cell r="BF42">
            <v>18</v>
          </cell>
          <cell r="BG42">
            <v>0</v>
          </cell>
          <cell r="BH42">
            <v>0</v>
          </cell>
          <cell r="BI42">
            <v>18</v>
          </cell>
          <cell r="BJ42">
            <v>0</v>
          </cell>
          <cell r="BK42">
            <v>0</v>
          </cell>
          <cell r="BL42">
            <v>18</v>
          </cell>
          <cell r="BM42">
            <v>0</v>
          </cell>
          <cell r="BN42">
            <v>0</v>
          </cell>
          <cell r="BO42">
            <v>18</v>
          </cell>
          <cell r="BP42">
            <v>0</v>
          </cell>
          <cell r="BQ42">
            <v>0</v>
          </cell>
          <cell r="BR42">
            <v>18</v>
          </cell>
          <cell r="BS42">
            <v>0</v>
          </cell>
          <cell r="BT42">
            <v>0</v>
          </cell>
          <cell r="BU42">
            <v>18</v>
          </cell>
          <cell r="BV42">
            <v>0</v>
          </cell>
          <cell r="BW42">
            <v>0</v>
          </cell>
          <cell r="BX42">
            <v>18</v>
          </cell>
          <cell r="BY42">
            <v>0</v>
          </cell>
          <cell r="BZ42">
            <v>0</v>
          </cell>
          <cell r="CA42">
            <v>18</v>
          </cell>
          <cell r="CB42">
            <v>0</v>
          </cell>
          <cell r="CC42">
            <v>0</v>
          </cell>
          <cell r="CD42">
            <v>18</v>
          </cell>
          <cell r="CE42">
            <v>0</v>
          </cell>
          <cell r="CF42">
            <v>0</v>
          </cell>
          <cell r="CG42">
            <v>18</v>
          </cell>
          <cell r="CH42">
            <v>0</v>
          </cell>
          <cell r="CI42">
            <v>0</v>
          </cell>
          <cell r="CJ42">
            <v>18</v>
          </cell>
          <cell r="CK42">
            <v>0</v>
          </cell>
          <cell r="CL42">
            <v>0</v>
          </cell>
          <cell r="CM42">
            <v>18</v>
          </cell>
          <cell r="CN42">
            <v>0</v>
          </cell>
          <cell r="CO42">
            <v>0</v>
          </cell>
          <cell r="CP42">
            <v>18</v>
          </cell>
          <cell r="CQ42">
            <v>0</v>
          </cell>
          <cell r="CR42">
            <v>0</v>
          </cell>
          <cell r="CS42">
            <v>18</v>
          </cell>
          <cell r="CT42">
            <v>0</v>
          </cell>
          <cell r="CU42">
            <v>0</v>
          </cell>
          <cell r="CV42">
            <v>18</v>
          </cell>
          <cell r="CW42">
            <v>0</v>
          </cell>
          <cell r="CX42">
            <v>0</v>
          </cell>
          <cell r="CY42">
            <v>18</v>
          </cell>
          <cell r="CZ42">
            <v>0</v>
          </cell>
          <cell r="DA42">
            <v>0</v>
          </cell>
          <cell r="DB42">
            <v>18</v>
          </cell>
          <cell r="DC42">
            <v>0</v>
          </cell>
          <cell r="DD42">
            <v>0</v>
          </cell>
          <cell r="DE42">
            <v>18</v>
          </cell>
          <cell r="DF42">
            <v>0</v>
          </cell>
          <cell r="DG42">
            <v>1</v>
          </cell>
          <cell r="DH42">
            <v>18</v>
          </cell>
          <cell r="DI42">
            <v>0</v>
          </cell>
          <cell r="DJ42">
            <v>0</v>
          </cell>
          <cell r="DK42">
            <v>18</v>
          </cell>
          <cell r="DL42">
            <v>0</v>
          </cell>
          <cell r="DM42">
            <v>0</v>
          </cell>
          <cell r="DN42">
            <v>18</v>
          </cell>
          <cell r="DO42">
            <v>0</v>
          </cell>
          <cell r="DP42">
            <v>0</v>
          </cell>
          <cell r="DQ42">
            <v>18</v>
          </cell>
          <cell r="DR42">
            <v>0</v>
          </cell>
          <cell r="DS42">
            <v>0</v>
          </cell>
          <cell r="DT42">
            <v>18</v>
          </cell>
          <cell r="DU42">
            <v>0</v>
          </cell>
          <cell r="DV42">
            <v>0</v>
          </cell>
          <cell r="DW42">
            <v>18</v>
          </cell>
          <cell r="DX42" t="b">
            <v>0</v>
          </cell>
          <cell r="DY42" t="b">
            <v>0</v>
          </cell>
          <cell r="DZ42">
            <v>18</v>
          </cell>
          <cell r="EA42" t="b">
            <v>0</v>
          </cell>
          <cell r="EB42" t="b">
            <v>0</v>
          </cell>
          <cell r="EC42">
            <v>18</v>
          </cell>
          <cell r="ED42" t="b">
            <v>0</v>
          </cell>
          <cell r="EE42" t="b">
            <v>0</v>
          </cell>
          <cell r="EF42">
            <v>18</v>
          </cell>
          <cell r="EG42" t="b">
            <v>0</v>
          </cell>
          <cell r="EH42" t="b">
            <v>0</v>
          </cell>
          <cell r="EI42">
            <v>18</v>
          </cell>
          <cell r="EJ42" t="b">
            <v>0</v>
          </cell>
          <cell r="EK42" t="b">
            <v>0</v>
          </cell>
          <cell r="EL42">
            <v>18</v>
          </cell>
          <cell r="EM42" t="b">
            <v>0</v>
          </cell>
          <cell r="EN42" t="b">
            <v>0</v>
          </cell>
          <cell r="EO42">
            <v>18</v>
          </cell>
          <cell r="EP42" t="b">
            <v>0</v>
          </cell>
          <cell r="EQ42" t="b">
            <v>0</v>
          </cell>
        </row>
        <row r="43">
          <cell r="A43">
            <v>19</v>
          </cell>
          <cell r="B43">
            <v>0</v>
          </cell>
          <cell r="C43">
            <v>0</v>
          </cell>
          <cell r="D43">
            <v>19</v>
          </cell>
          <cell r="E43">
            <v>0</v>
          </cell>
          <cell r="F43">
            <v>0</v>
          </cell>
          <cell r="G43">
            <v>19</v>
          </cell>
          <cell r="H43">
            <v>0</v>
          </cell>
          <cell r="I43">
            <v>0</v>
          </cell>
          <cell r="J43">
            <v>19</v>
          </cell>
          <cell r="K43">
            <v>0</v>
          </cell>
          <cell r="L43">
            <v>1</v>
          </cell>
          <cell r="M43">
            <v>19</v>
          </cell>
          <cell r="N43">
            <v>0</v>
          </cell>
          <cell r="O43">
            <v>0</v>
          </cell>
          <cell r="P43">
            <v>19</v>
          </cell>
          <cell r="Q43">
            <v>0</v>
          </cell>
          <cell r="R43">
            <v>0</v>
          </cell>
          <cell r="S43">
            <v>19</v>
          </cell>
          <cell r="T43">
            <v>3</v>
          </cell>
          <cell r="U43">
            <v>1</v>
          </cell>
          <cell r="V43">
            <v>19</v>
          </cell>
          <cell r="W43">
            <v>0</v>
          </cell>
          <cell r="X43">
            <v>0</v>
          </cell>
          <cell r="Y43">
            <v>19</v>
          </cell>
          <cell r="Z43">
            <v>0</v>
          </cell>
          <cell r="AA43">
            <v>0</v>
          </cell>
          <cell r="AB43">
            <v>19</v>
          </cell>
          <cell r="AC43">
            <v>0</v>
          </cell>
          <cell r="AD43">
            <v>1</v>
          </cell>
          <cell r="AE43">
            <v>19</v>
          </cell>
          <cell r="AF43">
            <v>0</v>
          </cell>
          <cell r="AG43">
            <v>0</v>
          </cell>
          <cell r="AH43">
            <v>19</v>
          </cell>
          <cell r="AI43">
            <v>0</v>
          </cell>
          <cell r="AJ43">
            <v>1</v>
          </cell>
          <cell r="AK43">
            <v>19</v>
          </cell>
          <cell r="AL43">
            <v>0</v>
          </cell>
          <cell r="AM43">
            <v>0</v>
          </cell>
          <cell r="AN43">
            <v>19</v>
          </cell>
          <cell r="AO43">
            <v>0</v>
          </cell>
          <cell r="AP43">
            <v>0</v>
          </cell>
          <cell r="AQ43">
            <v>19</v>
          </cell>
          <cell r="AR43">
            <v>0</v>
          </cell>
          <cell r="AS43">
            <v>1</v>
          </cell>
          <cell r="AT43">
            <v>19</v>
          </cell>
          <cell r="AU43">
            <v>0</v>
          </cell>
          <cell r="AV43">
            <v>0</v>
          </cell>
          <cell r="AW43">
            <v>19</v>
          </cell>
          <cell r="AX43">
            <v>0</v>
          </cell>
          <cell r="AY43">
            <v>0</v>
          </cell>
          <cell r="AZ43">
            <v>19</v>
          </cell>
          <cell r="BA43">
            <v>0</v>
          </cell>
          <cell r="BB43">
            <v>0</v>
          </cell>
          <cell r="BC43">
            <v>19</v>
          </cell>
          <cell r="BD43">
            <v>0</v>
          </cell>
          <cell r="BE43">
            <v>0</v>
          </cell>
          <cell r="BF43">
            <v>19</v>
          </cell>
          <cell r="BG43">
            <v>0</v>
          </cell>
          <cell r="BH43">
            <v>0</v>
          </cell>
          <cell r="BI43">
            <v>19</v>
          </cell>
          <cell r="BJ43">
            <v>0</v>
          </cell>
          <cell r="BK43">
            <v>0</v>
          </cell>
          <cell r="BL43">
            <v>19</v>
          </cell>
          <cell r="BM43">
            <v>0</v>
          </cell>
          <cell r="BN43">
            <v>0</v>
          </cell>
          <cell r="BO43">
            <v>19</v>
          </cell>
          <cell r="BP43">
            <v>0</v>
          </cell>
          <cell r="BQ43">
            <v>0</v>
          </cell>
          <cell r="BR43">
            <v>19</v>
          </cell>
          <cell r="BS43">
            <v>0</v>
          </cell>
          <cell r="BT43">
            <v>0</v>
          </cell>
          <cell r="BU43">
            <v>19</v>
          </cell>
          <cell r="BV43">
            <v>0</v>
          </cell>
          <cell r="BW43">
            <v>1</v>
          </cell>
          <cell r="BX43">
            <v>19</v>
          </cell>
          <cell r="BY43">
            <v>0</v>
          </cell>
          <cell r="BZ43">
            <v>1</v>
          </cell>
          <cell r="CA43">
            <v>19</v>
          </cell>
          <cell r="CB43">
            <v>0</v>
          </cell>
          <cell r="CC43">
            <v>0</v>
          </cell>
          <cell r="CD43">
            <v>19</v>
          </cell>
          <cell r="CE43">
            <v>0</v>
          </cell>
          <cell r="CF43">
            <v>0</v>
          </cell>
          <cell r="CG43">
            <v>19</v>
          </cell>
          <cell r="CH43">
            <v>0</v>
          </cell>
          <cell r="CI43">
            <v>0</v>
          </cell>
          <cell r="CJ43">
            <v>19</v>
          </cell>
          <cell r="CK43">
            <v>0</v>
          </cell>
          <cell r="CL43">
            <v>0</v>
          </cell>
          <cell r="CM43">
            <v>19</v>
          </cell>
          <cell r="CN43" t="b">
            <v>0</v>
          </cell>
          <cell r="CO43" t="b">
            <v>0</v>
          </cell>
          <cell r="CP43">
            <v>19</v>
          </cell>
          <cell r="CQ43">
            <v>0</v>
          </cell>
          <cell r="CR43">
            <v>0</v>
          </cell>
          <cell r="CS43">
            <v>19</v>
          </cell>
          <cell r="CT43">
            <v>0</v>
          </cell>
          <cell r="CU43">
            <v>0</v>
          </cell>
          <cell r="CV43">
            <v>19</v>
          </cell>
          <cell r="CW43">
            <v>0</v>
          </cell>
          <cell r="CX43">
            <v>0</v>
          </cell>
          <cell r="CY43">
            <v>19</v>
          </cell>
          <cell r="CZ43">
            <v>0</v>
          </cell>
          <cell r="DA43">
            <v>0</v>
          </cell>
          <cell r="DB43">
            <v>19</v>
          </cell>
          <cell r="DC43">
            <v>0</v>
          </cell>
          <cell r="DD43">
            <v>0</v>
          </cell>
          <cell r="DE43">
            <v>19</v>
          </cell>
          <cell r="DF43">
            <v>0</v>
          </cell>
          <cell r="DG43">
            <v>0</v>
          </cell>
          <cell r="DH43">
            <v>19</v>
          </cell>
          <cell r="DI43">
            <v>0</v>
          </cell>
          <cell r="DJ43">
            <v>0</v>
          </cell>
          <cell r="DK43">
            <v>19</v>
          </cell>
          <cell r="DL43">
            <v>0</v>
          </cell>
          <cell r="DM43">
            <v>0</v>
          </cell>
          <cell r="DN43">
            <v>19</v>
          </cell>
          <cell r="DO43">
            <v>0</v>
          </cell>
          <cell r="DP43">
            <v>0</v>
          </cell>
          <cell r="DQ43">
            <v>19</v>
          </cell>
          <cell r="DR43">
            <v>0</v>
          </cell>
          <cell r="DS43">
            <v>0</v>
          </cell>
          <cell r="DT43">
            <v>19</v>
          </cell>
          <cell r="DU43">
            <v>0</v>
          </cell>
          <cell r="DV43">
            <v>0</v>
          </cell>
          <cell r="DW43">
            <v>19</v>
          </cell>
          <cell r="DX43" t="b">
            <v>0</v>
          </cell>
          <cell r="DY43" t="b">
            <v>0</v>
          </cell>
          <cell r="DZ43">
            <v>19</v>
          </cell>
          <cell r="EA43" t="b">
            <v>0</v>
          </cell>
          <cell r="EB43" t="b">
            <v>0</v>
          </cell>
          <cell r="EC43">
            <v>19</v>
          </cell>
          <cell r="ED43" t="b">
            <v>0</v>
          </cell>
          <cell r="EE43" t="b">
            <v>0</v>
          </cell>
          <cell r="EF43">
            <v>19</v>
          </cell>
          <cell r="EG43" t="b">
            <v>0</v>
          </cell>
          <cell r="EH43" t="b">
            <v>0</v>
          </cell>
          <cell r="EI43">
            <v>19</v>
          </cell>
          <cell r="EJ43" t="b">
            <v>0</v>
          </cell>
          <cell r="EK43" t="b">
            <v>0</v>
          </cell>
          <cell r="EL43">
            <v>19</v>
          </cell>
          <cell r="EM43" t="b">
            <v>0</v>
          </cell>
          <cell r="EN43" t="b">
            <v>0</v>
          </cell>
          <cell r="EO43">
            <v>19</v>
          </cell>
          <cell r="EP43" t="b">
            <v>0</v>
          </cell>
          <cell r="EQ43" t="b">
            <v>0</v>
          </cell>
        </row>
        <row r="44">
          <cell r="A44">
            <v>20</v>
          </cell>
          <cell r="B44">
            <v>0</v>
          </cell>
          <cell r="C44">
            <v>0</v>
          </cell>
          <cell r="D44">
            <v>20</v>
          </cell>
          <cell r="E44">
            <v>0</v>
          </cell>
          <cell r="F44">
            <v>0</v>
          </cell>
          <cell r="G44">
            <v>20</v>
          </cell>
          <cell r="H44">
            <v>0</v>
          </cell>
          <cell r="I44">
            <v>0</v>
          </cell>
          <cell r="J44">
            <v>20</v>
          </cell>
          <cell r="K44">
            <v>0</v>
          </cell>
          <cell r="L44">
            <v>0</v>
          </cell>
          <cell r="M44">
            <v>20</v>
          </cell>
          <cell r="N44">
            <v>0</v>
          </cell>
          <cell r="O44">
            <v>0</v>
          </cell>
          <cell r="P44">
            <v>20</v>
          </cell>
          <cell r="Q44">
            <v>0</v>
          </cell>
          <cell r="R44">
            <v>0</v>
          </cell>
          <cell r="S44">
            <v>20</v>
          </cell>
          <cell r="T44">
            <v>5</v>
          </cell>
          <cell r="U44">
            <v>6</v>
          </cell>
          <cell r="V44">
            <v>20</v>
          </cell>
          <cell r="W44">
            <v>0</v>
          </cell>
          <cell r="X44">
            <v>0</v>
          </cell>
          <cell r="Y44">
            <v>20</v>
          </cell>
          <cell r="Z44">
            <v>0</v>
          </cell>
          <cell r="AA44">
            <v>0</v>
          </cell>
          <cell r="AB44">
            <v>20</v>
          </cell>
          <cell r="AC44">
            <v>0</v>
          </cell>
          <cell r="AD44">
            <v>0</v>
          </cell>
          <cell r="AE44">
            <v>20</v>
          </cell>
          <cell r="AF44">
            <v>0</v>
          </cell>
          <cell r="AG44">
            <v>0</v>
          </cell>
          <cell r="AH44">
            <v>20</v>
          </cell>
          <cell r="AI44">
            <v>0</v>
          </cell>
          <cell r="AJ44">
            <v>0</v>
          </cell>
          <cell r="AK44">
            <v>20</v>
          </cell>
          <cell r="AL44">
            <v>0</v>
          </cell>
          <cell r="AM44">
            <v>0</v>
          </cell>
          <cell r="AN44">
            <v>20</v>
          </cell>
          <cell r="AO44">
            <v>0</v>
          </cell>
          <cell r="AP44">
            <v>0</v>
          </cell>
          <cell r="AQ44">
            <v>20</v>
          </cell>
          <cell r="AR44">
            <v>0</v>
          </cell>
          <cell r="AS44">
            <v>0</v>
          </cell>
          <cell r="AT44">
            <v>20</v>
          </cell>
          <cell r="AU44">
            <v>0</v>
          </cell>
          <cell r="AV44">
            <v>0</v>
          </cell>
          <cell r="AW44">
            <v>20</v>
          </cell>
          <cell r="AX44">
            <v>0</v>
          </cell>
          <cell r="AY44">
            <v>0</v>
          </cell>
          <cell r="AZ44">
            <v>20</v>
          </cell>
          <cell r="BA44">
            <v>0</v>
          </cell>
          <cell r="BB44">
            <v>0</v>
          </cell>
          <cell r="BC44">
            <v>20</v>
          </cell>
          <cell r="BD44">
            <v>0</v>
          </cell>
          <cell r="BE44">
            <v>0</v>
          </cell>
          <cell r="BF44">
            <v>20</v>
          </cell>
          <cell r="BG44">
            <v>0</v>
          </cell>
          <cell r="BH44">
            <v>0</v>
          </cell>
          <cell r="BI44">
            <v>20</v>
          </cell>
          <cell r="BJ44">
            <v>0</v>
          </cell>
          <cell r="BK44">
            <v>0</v>
          </cell>
          <cell r="BL44">
            <v>20</v>
          </cell>
          <cell r="BM44">
            <v>0</v>
          </cell>
          <cell r="BN44">
            <v>0</v>
          </cell>
          <cell r="BO44">
            <v>20</v>
          </cell>
          <cell r="BP44">
            <v>0</v>
          </cell>
          <cell r="BQ44">
            <v>0</v>
          </cell>
          <cell r="BR44">
            <v>20</v>
          </cell>
          <cell r="BS44">
            <v>0</v>
          </cell>
          <cell r="BT44">
            <v>0</v>
          </cell>
          <cell r="BU44">
            <v>20</v>
          </cell>
          <cell r="BV44">
            <v>0</v>
          </cell>
          <cell r="BW44">
            <v>0</v>
          </cell>
          <cell r="BX44">
            <v>20</v>
          </cell>
          <cell r="BY44">
            <v>0</v>
          </cell>
          <cell r="BZ44">
            <v>0</v>
          </cell>
          <cell r="CA44">
            <v>20</v>
          </cell>
          <cell r="CB44">
            <v>0</v>
          </cell>
          <cell r="CC44">
            <v>0</v>
          </cell>
          <cell r="CD44">
            <v>20</v>
          </cell>
          <cell r="CE44">
            <v>0</v>
          </cell>
          <cell r="CF44">
            <v>0</v>
          </cell>
          <cell r="CG44">
            <v>20</v>
          </cell>
          <cell r="CH44">
            <v>0</v>
          </cell>
          <cell r="CI44">
            <v>0</v>
          </cell>
          <cell r="CJ44">
            <v>20</v>
          </cell>
          <cell r="CK44">
            <v>0</v>
          </cell>
          <cell r="CL44">
            <v>0</v>
          </cell>
          <cell r="CM44">
            <v>20</v>
          </cell>
          <cell r="CN44">
            <v>0</v>
          </cell>
          <cell r="CO44">
            <v>0</v>
          </cell>
          <cell r="CP44">
            <v>20</v>
          </cell>
          <cell r="CQ44">
            <v>0</v>
          </cell>
          <cell r="CR44">
            <v>0</v>
          </cell>
          <cell r="CS44">
            <v>20</v>
          </cell>
          <cell r="CT44">
            <v>0</v>
          </cell>
          <cell r="CU44">
            <v>0</v>
          </cell>
          <cell r="CV44">
            <v>20</v>
          </cell>
          <cell r="CW44">
            <v>0</v>
          </cell>
          <cell r="CX44">
            <v>0</v>
          </cell>
          <cell r="CY44">
            <v>20</v>
          </cell>
          <cell r="CZ44">
            <v>0</v>
          </cell>
          <cell r="DA44">
            <v>0</v>
          </cell>
          <cell r="DB44">
            <v>20</v>
          </cell>
          <cell r="DC44">
            <v>0</v>
          </cell>
          <cell r="DD44">
            <v>0</v>
          </cell>
          <cell r="DE44">
            <v>20</v>
          </cell>
          <cell r="DF44">
            <v>0</v>
          </cell>
          <cell r="DG44">
            <v>0</v>
          </cell>
          <cell r="DH44">
            <v>20</v>
          </cell>
          <cell r="DI44">
            <v>0</v>
          </cell>
          <cell r="DJ44">
            <v>0</v>
          </cell>
          <cell r="DK44">
            <v>20</v>
          </cell>
          <cell r="DL44">
            <v>0</v>
          </cell>
          <cell r="DM44">
            <v>0</v>
          </cell>
          <cell r="DN44">
            <v>20</v>
          </cell>
          <cell r="DO44">
            <v>0</v>
          </cell>
          <cell r="DP44">
            <v>0</v>
          </cell>
          <cell r="DQ44">
            <v>20</v>
          </cell>
          <cell r="DR44">
            <v>0</v>
          </cell>
          <cell r="DS44">
            <v>0</v>
          </cell>
          <cell r="DT44">
            <v>20</v>
          </cell>
          <cell r="DU44">
            <v>0</v>
          </cell>
          <cell r="DV44">
            <v>0</v>
          </cell>
          <cell r="DW44">
            <v>20</v>
          </cell>
          <cell r="DX44" t="b">
            <v>0</v>
          </cell>
          <cell r="DY44" t="b">
            <v>0</v>
          </cell>
          <cell r="DZ44">
            <v>20</v>
          </cell>
          <cell r="EA44" t="b">
            <v>0</v>
          </cell>
          <cell r="EB44" t="b">
            <v>0</v>
          </cell>
          <cell r="EC44">
            <v>20</v>
          </cell>
          <cell r="ED44" t="b">
            <v>0</v>
          </cell>
          <cell r="EE44" t="b">
            <v>0</v>
          </cell>
          <cell r="EF44">
            <v>20</v>
          </cell>
          <cell r="EG44" t="b">
            <v>0</v>
          </cell>
          <cell r="EH44" t="b">
            <v>0</v>
          </cell>
          <cell r="EI44">
            <v>20</v>
          </cell>
          <cell r="EJ44" t="b">
            <v>0</v>
          </cell>
          <cell r="EK44" t="b">
            <v>0</v>
          </cell>
          <cell r="EL44">
            <v>20</v>
          </cell>
          <cell r="EM44" t="b">
            <v>0</v>
          </cell>
          <cell r="EN44" t="b">
            <v>0</v>
          </cell>
          <cell r="EO44">
            <v>20</v>
          </cell>
          <cell r="EP44" t="b">
            <v>0</v>
          </cell>
          <cell r="EQ44" t="b">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row>
        <row r="46">
          <cell r="A46" t="str">
            <v>performances</v>
          </cell>
          <cell r="B46">
            <v>7</v>
          </cell>
          <cell r="C46">
            <v>0</v>
          </cell>
          <cell r="D46" t="str">
            <v>performances</v>
          </cell>
          <cell r="E46">
            <v>0</v>
          </cell>
          <cell r="F46">
            <v>0</v>
          </cell>
          <cell r="G46" t="str">
            <v>performances</v>
          </cell>
          <cell r="H46">
            <v>6</v>
          </cell>
          <cell r="I46">
            <v>0</v>
          </cell>
          <cell r="J46" t="str">
            <v>performances</v>
          </cell>
          <cell r="K46">
            <v>0</v>
          </cell>
          <cell r="L46">
            <v>0</v>
          </cell>
          <cell r="M46" t="str">
            <v>performances</v>
          </cell>
          <cell r="N46">
            <v>3</v>
          </cell>
          <cell r="O46">
            <v>0</v>
          </cell>
          <cell r="P46" t="str">
            <v>performances</v>
          </cell>
          <cell r="Q46">
            <v>1</v>
          </cell>
          <cell r="R46">
            <v>0</v>
          </cell>
          <cell r="S46" t="str">
            <v>performances</v>
          </cell>
          <cell r="T46">
            <v>2</v>
          </cell>
          <cell r="U46">
            <v>0</v>
          </cell>
          <cell r="V46" t="str">
            <v>performances</v>
          </cell>
          <cell r="W46">
            <v>9</v>
          </cell>
          <cell r="X46">
            <v>0</v>
          </cell>
          <cell r="Y46" t="str">
            <v>performances</v>
          </cell>
          <cell r="Z46">
            <v>1</v>
          </cell>
          <cell r="AA46">
            <v>0</v>
          </cell>
          <cell r="AB46" t="str">
            <v>performances</v>
          </cell>
          <cell r="AC46">
            <v>5</v>
          </cell>
          <cell r="AD46">
            <v>0</v>
          </cell>
          <cell r="AE46" t="str">
            <v>performances</v>
          </cell>
          <cell r="AF46">
            <v>0</v>
          </cell>
          <cell r="AG46">
            <v>0</v>
          </cell>
          <cell r="AH46" t="str">
            <v>performances</v>
          </cell>
          <cell r="AI46">
            <v>0</v>
          </cell>
          <cell r="AJ46">
            <v>0</v>
          </cell>
          <cell r="AK46" t="str">
            <v>performances</v>
          </cell>
          <cell r="AL46">
            <v>0</v>
          </cell>
          <cell r="AM46">
            <v>0</v>
          </cell>
          <cell r="AN46" t="str">
            <v>performances</v>
          </cell>
          <cell r="AO46">
            <v>1</v>
          </cell>
          <cell r="AP46">
            <v>0</v>
          </cell>
          <cell r="AQ46" t="str">
            <v>performances</v>
          </cell>
          <cell r="AR46">
            <v>10</v>
          </cell>
          <cell r="AS46">
            <v>0</v>
          </cell>
          <cell r="AT46" t="str">
            <v>performances</v>
          </cell>
          <cell r="AU46">
            <v>1</v>
          </cell>
          <cell r="AV46">
            <v>0</v>
          </cell>
          <cell r="AW46" t="str">
            <v>performances</v>
          </cell>
          <cell r="AX46">
            <v>7</v>
          </cell>
          <cell r="AY46">
            <v>0</v>
          </cell>
          <cell r="AZ46" t="str">
            <v>performances</v>
          </cell>
          <cell r="BA46">
            <v>3</v>
          </cell>
          <cell r="BB46">
            <v>0</v>
          </cell>
          <cell r="BC46" t="str">
            <v>performances</v>
          </cell>
          <cell r="BD46">
            <v>12</v>
          </cell>
          <cell r="BE46">
            <v>0</v>
          </cell>
          <cell r="BF46" t="str">
            <v>performances</v>
          </cell>
          <cell r="BG46">
            <v>4</v>
          </cell>
          <cell r="BH46">
            <v>0</v>
          </cell>
          <cell r="BI46" t="str">
            <v>performances</v>
          </cell>
          <cell r="BJ46">
            <v>6</v>
          </cell>
          <cell r="BK46">
            <v>0</v>
          </cell>
          <cell r="BL46" t="str">
            <v>performances</v>
          </cell>
          <cell r="BM46">
            <v>6</v>
          </cell>
          <cell r="BN46">
            <v>0</v>
          </cell>
          <cell r="BO46" t="str">
            <v>performances</v>
          </cell>
          <cell r="BP46">
            <v>6</v>
          </cell>
          <cell r="BQ46">
            <v>0</v>
          </cell>
          <cell r="BR46" t="str">
            <v>performances</v>
          </cell>
          <cell r="BS46">
            <v>22</v>
          </cell>
          <cell r="BT46">
            <v>0</v>
          </cell>
          <cell r="BU46" t="str">
            <v>performances</v>
          </cell>
          <cell r="BV46">
            <v>15</v>
          </cell>
          <cell r="BW46">
            <v>0</v>
          </cell>
          <cell r="BX46" t="str">
            <v>performances</v>
          </cell>
          <cell r="BY46">
            <v>2</v>
          </cell>
          <cell r="BZ46">
            <v>0</v>
          </cell>
          <cell r="CA46" t="str">
            <v>performances</v>
          </cell>
          <cell r="CB46">
            <v>10</v>
          </cell>
          <cell r="CC46">
            <v>0</v>
          </cell>
          <cell r="CD46" t="str">
            <v>performances</v>
          </cell>
          <cell r="CE46">
            <v>3</v>
          </cell>
          <cell r="CF46">
            <v>0</v>
          </cell>
          <cell r="CG46" t="str">
            <v>performances</v>
          </cell>
          <cell r="CH46">
            <v>6</v>
          </cell>
          <cell r="CI46">
            <v>0</v>
          </cell>
          <cell r="CJ46" t="str">
            <v>performances</v>
          </cell>
          <cell r="CK46">
            <v>3</v>
          </cell>
          <cell r="CL46">
            <v>0</v>
          </cell>
          <cell r="CM46" t="str">
            <v>performances</v>
          </cell>
          <cell r="CN46">
            <v>0</v>
          </cell>
          <cell r="CO46">
            <v>0</v>
          </cell>
          <cell r="CP46" t="str">
            <v>performances</v>
          </cell>
          <cell r="CQ46">
            <v>1</v>
          </cell>
          <cell r="CR46">
            <v>0</v>
          </cell>
          <cell r="CS46" t="str">
            <v>performances</v>
          </cell>
          <cell r="CT46">
            <v>2</v>
          </cell>
          <cell r="CU46">
            <v>0</v>
          </cell>
          <cell r="CV46" t="str">
            <v>performances</v>
          </cell>
          <cell r="CW46">
            <v>6</v>
          </cell>
          <cell r="CX46">
            <v>0</v>
          </cell>
          <cell r="CY46" t="str">
            <v>performances</v>
          </cell>
          <cell r="CZ46">
            <v>0</v>
          </cell>
          <cell r="DA46">
            <v>0</v>
          </cell>
          <cell r="DB46" t="str">
            <v>performances</v>
          </cell>
          <cell r="DC46">
            <v>20</v>
          </cell>
          <cell r="DD46">
            <v>0</v>
          </cell>
          <cell r="DE46" t="str">
            <v>performances</v>
          </cell>
          <cell r="DF46">
            <v>1</v>
          </cell>
          <cell r="DG46">
            <v>0</v>
          </cell>
          <cell r="DH46" t="str">
            <v>performances</v>
          </cell>
          <cell r="DI46">
            <v>0</v>
          </cell>
          <cell r="DJ46">
            <v>0</v>
          </cell>
          <cell r="DK46" t="str">
            <v>performances</v>
          </cell>
          <cell r="DL46">
            <v>0</v>
          </cell>
          <cell r="DM46">
            <v>0</v>
          </cell>
          <cell r="DN46" t="str">
            <v>performances</v>
          </cell>
          <cell r="DO46">
            <v>1</v>
          </cell>
          <cell r="DP46">
            <v>0</v>
          </cell>
          <cell r="DQ46" t="str">
            <v>performances</v>
          </cell>
          <cell r="DR46">
            <v>1</v>
          </cell>
          <cell r="DS46">
            <v>0</v>
          </cell>
          <cell r="DT46" t="str">
            <v>performances</v>
          </cell>
          <cell r="DU46">
            <v>0</v>
          </cell>
          <cell r="DV46">
            <v>0</v>
          </cell>
          <cell r="DW46" t="str">
            <v>performances</v>
          </cell>
          <cell r="DX46" t="e">
            <v>#N/A</v>
          </cell>
          <cell r="DY46">
            <v>0</v>
          </cell>
          <cell r="DZ46" t="str">
            <v>performances</v>
          </cell>
          <cell r="EA46" t="e">
            <v>#N/A</v>
          </cell>
          <cell r="EB46">
            <v>0</v>
          </cell>
          <cell r="EC46" t="str">
            <v>performances</v>
          </cell>
          <cell r="ED46" t="e">
            <v>#N/A</v>
          </cell>
          <cell r="EE46">
            <v>0</v>
          </cell>
          <cell r="EF46" t="str">
            <v>performances</v>
          </cell>
          <cell r="EG46" t="e">
            <v>#N/A</v>
          </cell>
          <cell r="EH46">
            <v>0</v>
          </cell>
          <cell r="EI46" t="str">
            <v>performances</v>
          </cell>
          <cell r="EJ46" t="e">
            <v>#N/A</v>
          </cell>
          <cell r="EK46">
            <v>0</v>
          </cell>
          <cell r="EL46" t="str">
            <v>performances</v>
          </cell>
          <cell r="EM46" t="e">
            <v>#N/A</v>
          </cell>
          <cell r="EN46">
            <v>0</v>
          </cell>
          <cell r="EO46" t="str">
            <v>performances</v>
          </cell>
          <cell r="EP46" t="e">
            <v>#N/A</v>
          </cell>
        </row>
        <row r="47">
          <cell r="A47" t="str">
            <v>Contre-performances</v>
          </cell>
          <cell r="B47">
            <v>8</v>
          </cell>
          <cell r="C47">
            <v>0</v>
          </cell>
          <cell r="D47" t="str">
            <v>Contre-performances</v>
          </cell>
          <cell r="E47">
            <v>0</v>
          </cell>
          <cell r="F47">
            <v>0</v>
          </cell>
          <cell r="G47" t="str">
            <v>Contre-performances</v>
          </cell>
          <cell r="H47">
            <v>11</v>
          </cell>
          <cell r="I47">
            <v>0</v>
          </cell>
          <cell r="J47" t="str">
            <v>Contre-performances</v>
          </cell>
          <cell r="K47">
            <v>5</v>
          </cell>
          <cell r="L47">
            <v>0</v>
          </cell>
          <cell r="M47" t="str">
            <v>Contre-performances</v>
          </cell>
          <cell r="N47">
            <v>5</v>
          </cell>
          <cell r="O47">
            <v>0</v>
          </cell>
          <cell r="P47" t="str">
            <v>Contre-performances</v>
          </cell>
          <cell r="Q47">
            <v>10</v>
          </cell>
          <cell r="R47">
            <v>0</v>
          </cell>
          <cell r="S47" t="str">
            <v>Contre-performances</v>
          </cell>
          <cell r="T47">
            <v>1</v>
          </cell>
          <cell r="U47">
            <v>0</v>
          </cell>
          <cell r="V47" t="str">
            <v>Contre-performances</v>
          </cell>
          <cell r="W47">
            <v>7</v>
          </cell>
          <cell r="X47">
            <v>0</v>
          </cell>
          <cell r="Y47" t="str">
            <v>Contre-performances</v>
          </cell>
          <cell r="Z47">
            <v>5</v>
          </cell>
          <cell r="AA47">
            <v>0</v>
          </cell>
          <cell r="AB47" t="str">
            <v>Contre-performances</v>
          </cell>
          <cell r="AC47">
            <v>5</v>
          </cell>
          <cell r="AD47">
            <v>0</v>
          </cell>
          <cell r="AE47" t="str">
            <v>Contre-performances</v>
          </cell>
          <cell r="AF47">
            <v>6</v>
          </cell>
          <cell r="AG47">
            <v>0</v>
          </cell>
          <cell r="AH47" t="str">
            <v>Contre-performances</v>
          </cell>
          <cell r="AI47">
            <v>4</v>
          </cell>
          <cell r="AJ47">
            <v>0</v>
          </cell>
          <cell r="AK47" t="str">
            <v>Contre-performances</v>
          </cell>
          <cell r="AL47">
            <v>3</v>
          </cell>
          <cell r="AM47">
            <v>0</v>
          </cell>
          <cell r="AN47" t="str">
            <v>Contre-performances</v>
          </cell>
          <cell r="AO47">
            <v>9</v>
          </cell>
          <cell r="AP47">
            <v>0</v>
          </cell>
          <cell r="AQ47" t="str">
            <v>Contre-performances</v>
          </cell>
          <cell r="AR47">
            <v>5</v>
          </cell>
          <cell r="AS47">
            <v>0</v>
          </cell>
          <cell r="AT47" t="str">
            <v>Contre-performances</v>
          </cell>
          <cell r="AU47">
            <v>1</v>
          </cell>
          <cell r="AV47">
            <v>0</v>
          </cell>
          <cell r="AW47" t="str">
            <v>Contre-performances</v>
          </cell>
          <cell r="AX47">
            <v>1</v>
          </cell>
          <cell r="AY47">
            <v>0</v>
          </cell>
          <cell r="AZ47" t="str">
            <v>Contre-performances</v>
          </cell>
          <cell r="BA47">
            <v>3</v>
          </cell>
          <cell r="BB47">
            <v>0</v>
          </cell>
          <cell r="BC47" t="str">
            <v>Contre-performances</v>
          </cell>
          <cell r="BD47">
            <v>5</v>
          </cell>
          <cell r="BE47">
            <v>0</v>
          </cell>
          <cell r="BF47" t="str">
            <v>Contre-performances</v>
          </cell>
          <cell r="BG47">
            <v>1</v>
          </cell>
          <cell r="BH47">
            <v>0</v>
          </cell>
          <cell r="BI47" t="str">
            <v>Contre-performances</v>
          </cell>
          <cell r="BJ47">
            <v>3</v>
          </cell>
          <cell r="BK47">
            <v>0</v>
          </cell>
          <cell r="BL47" t="str">
            <v>Contre-performances</v>
          </cell>
          <cell r="BM47">
            <v>3</v>
          </cell>
          <cell r="BN47">
            <v>0</v>
          </cell>
          <cell r="BO47" t="str">
            <v>Contre-performances</v>
          </cell>
          <cell r="BP47">
            <v>14</v>
          </cell>
          <cell r="BQ47">
            <v>0</v>
          </cell>
          <cell r="BR47" t="str">
            <v>Contre-performances</v>
          </cell>
          <cell r="BS47">
            <v>5</v>
          </cell>
          <cell r="BT47">
            <v>0</v>
          </cell>
          <cell r="BU47" t="str">
            <v>Contre-performances</v>
          </cell>
          <cell r="BV47">
            <v>4</v>
          </cell>
          <cell r="BW47">
            <v>0</v>
          </cell>
          <cell r="BX47" t="str">
            <v>Contre-performances</v>
          </cell>
          <cell r="BY47">
            <v>3</v>
          </cell>
          <cell r="BZ47">
            <v>0</v>
          </cell>
          <cell r="CA47" t="str">
            <v>Contre-performances</v>
          </cell>
          <cell r="CB47">
            <v>2</v>
          </cell>
          <cell r="CC47">
            <v>0</v>
          </cell>
          <cell r="CD47" t="str">
            <v>Contre-performances</v>
          </cell>
          <cell r="CE47">
            <v>5</v>
          </cell>
          <cell r="CF47">
            <v>0</v>
          </cell>
          <cell r="CG47" t="str">
            <v>Contre-performances</v>
          </cell>
          <cell r="CH47">
            <v>4</v>
          </cell>
          <cell r="CI47">
            <v>0</v>
          </cell>
          <cell r="CJ47" t="str">
            <v>Contre-performances</v>
          </cell>
          <cell r="CK47">
            <v>11</v>
          </cell>
          <cell r="CL47">
            <v>0</v>
          </cell>
          <cell r="CM47" t="str">
            <v>Contre-performances</v>
          </cell>
          <cell r="CN47">
            <v>0</v>
          </cell>
          <cell r="CO47">
            <v>0</v>
          </cell>
          <cell r="CP47" t="str">
            <v>Contre-performances</v>
          </cell>
          <cell r="CQ47">
            <v>2</v>
          </cell>
          <cell r="CR47">
            <v>0</v>
          </cell>
          <cell r="CS47" t="str">
            <v>Contre-performances</v>
          </cell>
          <cell r="CT47">
            <v>0</v>
          </cell>
          <cell r="CU47">
            <v>0</v>
          </cell>
          <cell r="CV47" t="str">
            <v>Contre-performances</v>
          </cell>
          <cell r="CW47">
            <v>3</v>
          </cell>
          <cell r="CX47">
            <v>0</v>
          </cell>
          <cell r="CY47" t="str">
            <v>Contre-performances</v>
          </cell>
          <cell r="CZ47">
            <v>2</v>
          </cell>
          <cell r="DA47">
            <v>0</v>
          </cell>
          <cell r="DB47" t="str">
            <v>Contre-performances</v>
          </cell>
          <cell r="DC47">
            <v>1</v>
          </cell>
          <cell r="DD47">
            <v>0</v>
          </cell>
          <cell r="DE47" t="str">
            <v>Contre-performances</v>
          </cell>
          <cell r="DF47">
            <v>3</v>
          </cell>
          <cell r="DG47">
            <v>0</v>
          </cell>
          <cell r="DH47" t="str">
            <v>Contre-performances</v>
          </cell>
          <cell r="DI47">
            <v>3</v>
          </cell>
          <cell r="DJ47">
            <v>0</v>
          </cell>
          <cell r="DK47" t="str">
            <v>Contre-performances</v>
          </cell>
          <cell r="DL47">
            <v>0</v>
          </cell>
          <cell r="DM47">
            <v>0</v>
          </cell>
          <cell r="DN47" t="str">
            <v>Contre-performances</v>
          </cell>
          <cell r="DO47">
            <v>3</v>
          </cell>
          <cell r="DP47">
            <v>0</v>
          </cell>
          <cell r="DQ47" t="str">
            <v>Contre-performances</v>
          </cell>
          <cell r="DR47">
            <v>0</v>
          </cell>
          <cell r="DS47">
            <v>0</v>
          </cell>
          <cell r="DT47" t="str">
            <v>Contre-performances</v>
          </cell>
          <cell r="DU47">
            <v>0</v>
          </cell>
          <cell r="DV47">
            <v>0</v>
          </cell>
          <cell r="DW47" t="str">
            <v>Contre-performances</v>
          </cell>
          <cell r="DX47" t="e">
            <v>#N/A</v>
          </cell>
          <cell r="DY47">
            <v>0</v>
          </cell>
          <cell r="DZ47" t="str">
            <v>Contre-performances</v>
          </cell>
          <cell r="EA47" t="e">
            <v>#N/A</v>
          </cell>
          <cell r="EB47">
            <v>0</v>
          </cell>
          <cell r="EC47" t="str">
            <v>Contre-performances</v>
          </cell>
          <cell r="ED47" t="e">
            <v>#N/A</v>
          </cell>
          <cell r="EE47">
            <v>0</v>
          </cell>
          <cell r="EF47" t="str">
            <v>Contre-performances</v>
          </cell>
          <cell r="EG47" t="e">
            <v>#N/A</v>
          </cell>
          <cell r="EH47">
            <v>0</v>
          </cell>
          <cell r="EI47" t="str">
            <v>Contre-performances</v>
          </cell>
          <cell r="EJ47" t="e">
            <v>#N/A</v>
          </cell>
          <cell r="EK47">
            <v>0</v>
          </cell>
          <cell r="EL47" t="str">
            <v>Contre-performances</v>
          </cell>
          <cell r="EM47" t="e">
            <v>#N/A</v>
          </cell>
          <cell r="EN47">
            <v>0</v>
          </cell>
          <cell r="EO47" t="str">
            <v>Contre-performances</v>
          </cell>
          <cell r="EP47" t="e">
            <v>#N/A</v>
          </cell>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72"/>
      <sheetName val="Feuil71"/>
      <sheetName val="Feuil70"/>
      <sheetName val="Feuil69"/>
      <sheetName val="Feuil68"/>
      <sheetName val="Feuil67"/>
      <sheetName val="Feuil66"/>
      <sheetName val="Feuil65"/>
      <sheetName val="Feuil64"/>
      <sheetName val="Feuil63"/>
      <sheetName val="Feuil62"/>
      <sheetName val="Feuil61"/>
      <sheetName val="Feuil60"/>
      <sheetName val="Feuil59"/>
      <sheetName val="Feuil58"/>
      <sheetName val="Feuil57"/>
      <sheetName val="Feuil56"/>
      <sheetName val="Feuil55"/>
      <sheetName val="Feuil54"/>
      <sheetName val="Feuil53"/>
      <sheetName val="Feuil52"/>
      <sheetName val="Feuil51"/>
      <sheetName val="Feuil50"/>
      <sheetName val="Feuil49"/>
      <sheetName val="Feuil48"/>
      <sheetName val="Feuil47"/>
      <sheetName val="Feuil46"/>
      <sheetName val="Feuil45"/>
      <sheetName val="Feuil44"/>
      <sheetName val="Feuil43"/>
      <sheetName val="Feuil42"/>
      <sheetName val="Feuil41"/>
      <sheetName val="Feuil40"/>
      <sheetName val="Feuil39"/>
      <sheetName val="Feuil38"/>
      <sheetName val="Feuil37"/>
      <sheetName val="Feuil36"/>
      <sheetName val="Feuil35"/>
      <sheetName val="Feuil34"/>
      <sheetName val="Feuil33"/>
      <sheetName val="Feuil32"/>
      <sheetName val="Feuil31"/>
      <sheetName val="Feuil30"/>
      <sheetName val="Feuil29"/>
      <sheetName val="Feuil28"/>
      <sheetName val="Feuil27"/>
      <sheetName val="Feuil26"/>
      <sheetName val="Feuil25"/>
      <sheetName val="Feuil24"/>
      <sheetName val="Feuil23"/>
      <sheetName val="Feuil22"/>
      <sheetName val="Feuil21"/>
      <sheetName val="Feuil20"/>
      <sheetName val="Feuil19"/>
      <sheetName val="Feuil18"/>
      <sheetName val="Feuil17"/>
      <sheetName val="Feuil16"/>
      <sheetName val="Feuil15"/>
      <sheetName val="Feuil14"/>
      <sheetName val="Feuil13"/>
      <sheetName val="Feuil12"/>
      <sheetName val="Feuil11"/>
      <sheetName val="Feuil10"/>
      <sheetName val="Feuil9"/>
      <sheetName val="Feuil8"/>
      <sheetName val="Feuil7"/>
      <sheetName val="Feuil6"/>
      <sheetName val="Feuil5"/>
      <sheetName val="Feuil4"/>
      <sheetName val="Loisirs"/>
      <sheetName val="Tradi"/>
      <sheetName val="liste"/>
      <sheetName val="cotisations"/>
      <sheetName val="Feuil1"/>
      <sheetName val="ma fiche"/>
      <sheetName val="liste complète"/>
      <sheetName val="gest adhérents"/>
      <sheetName val="Sommaire"/>
      <sheetName val="ADHERENTS"/>
      <sheetName val="acceuil"/>
      <sheetName val="blog stats"/>
      <sheetName val="Somm.résultats"/>
      <sheetName val="rang"/>
      <sheetName val=" joueur de l'année"/>
      <sheetName val="points"/>
      <sheetName val="résultats"/>
      <sheetName val="Stat.adhérents"/>
      <sheetName val="Critérium"/>
      <sheetName val="clt"/>
      <sheetName val="Catégories-Tarifs"/>
      <sheetName val="help1"/>
      <sheetName val="Statuts"/>
      <sheetName val="règlement"/>
      <sheetName val="Admin"/>
      <sheetName val="Poules"/>
      <sheetName val="résultats des équipes"/>
      <sheetName val="équipes"/>
      <sheetName val="calendrier"/>
      <sheetName val="fichcapitaine"/>
      <sheetName val="organigram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2">
          <cell r="M2" t="str">
            <v>envoi n°1</v>
          </cell>
        </row>
      </sheetData>
      <sheetData sheetId="73"/>
      <sheetData sheetId="74"/>
      <sheetData sheetId="75">
        <row r="2">
          <cell r="A2" t="str">
            <v>Allano Antoine</v>
          </cell>
        </row>
      </sheetData>
      <sheetData sheetId="76"/>
      <sheetData sheetId="77">
        <row r="2">
          <cell r="F2" t="str">
            <v>2009 / 2010</v>
          </cell>
        </row>
      </sheetData>
      <sheetData sheetId="78"/>
      <sheetData sheetId="79"/>
      <sheetData sheetId="80"/>
      <sheetData sheetId="81"/>
      <sheetData sheetId="82">
        <row r="4">
          <cell r="A4" t="str">
            <v>Fatin  Denis</v>
          </cell>
        </row>
      </sheetData>
      <sheetData sheetId="83">
        <row r="3">
          <cell r="L3">
            <v>2</v>
          </cell>
        </row>
      </sheetData>
      <sheetData sheetId="84">
        <row r="3">
          <cell r="AD3" t="str">
            <v>Saloux Philippe</v>
          </cell>
        </row>
      </sheetData>
      <sheetData sheetId="85">
        <row r="2">
          <cell r="BB2" t="str">
            <v>Clt</v>
          </cell>
        </row>
      </sheetData>
      <sheetData sheetId="86">
        <row r="2">
          <cell r="J2" t="str">
            <v>Age moyen       (hors jeunes)</v>
          </cell>
        </row>
        <row r="6">
          <cell r="D6">
            <v>0.10909090909090909</v>
          </cell>
        </row>
        <row r="13">
          <cell r="J13">
            <v>0.65454770841018228</v>
          </cell>
        </row>
      </sheetData>
      <sheetData sheetId="87">
        <row r="1">
          <cell r="AH1" t="str">
            <v>Vict</v>
          </cell>
          <cell r="AI1" t="str">
            <v>Déf</v>
          </cell>
        </row>
        <row r="23">
          <cell r="AF23">
            <v>0</v>
          </cell>
        </row>
        <row r="24">
          <cell r="AF24" t="str">
            <v>1/8</v>
          </cell>
        </row>
      </sheetData>
      <sheetData sheetId="88"/>
      <sheetData sheetId="89">
        <row r="8">
          <cell r="B8" t="str">
            <v>Poussin</v>
          </cell>
        </row>
      </sheetData>
      <sheetData sheetId="90"/>
      <sheetData sheetId="91"/>
      <sheetData sheetId="92"/>
      <sheetData sheetId="93"/>
      <sheetData sheetId="94"/>
      <sheetData sheetId="95">
        <row r="89">
          <cell r="A89" t="str">
            <v>Muzillac TT 1</v>
          </cell>
        </row>
      </sheetData>
      <sheetData sheetId="96">
        <row r="1">
          <cell r="C1" t="str">
            <v xml:space="preserve">EQUIPES :   SAISON </v>
          </cell>
        </row>
      </sheetData>
      <sheetData sheetId="97">
        <row r="3">
          <cell r="C3">
            <v>40081</v>
          </cell>
        </row>
      </sheetData>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
      <sheetName val="liste"/>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
      <sheetName val="liste"/>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72"/>
      <sheetName val="Feuil71"/>
      <sheetName val="Feuil70"/>
      <sheetName val="Feuil69"/>
      <sheetName val="Feuil68"/>
      <sheetName val="Feuil67"/>
      <sheetName val="Feuil66"/>
      <sheetName val="Feuil65"/>
      <sheetName val="Feuil64"/>
      <sheetName val="Feuil63"/>
      <sheetName val="Feuil62"/>
      <sheetName val="Feuil61"/>
      <sheetName val="Feuil60"/>
      <sheetName val="Feuil59"/>
      <sheetName val="Feuil58"/>
      <sheetName val="Feuil57"/>
      <sheetName val="Feuil56"/>
      <sheetName val="Feuil55"/>
      <sheetName val="Feuil54"/>
      <sheetName val="Feuil53"/>
      <sheetName val="Feuil52"/>
      <sheetName val="Feuil51"/>
      <sheetName val="Feuil50"/>
      <sheetName val="Feuil49"/>
      <sheetName val="Feuil48"/>
      <sheetName val="Feuil47"/>
      <sheetName val="Feuil46"/>
      <sheetName val="Feuil45"/>
      <sheetName val="Feuil44"/>
      <sheetName val="Feuil43"/>
      <sheetName val="Feuil42"/>
      <sheetName val="Feuil41"/>
      <sheetName val="Feuil40"/>
      <sheetName val="Feuil39"/>
      <sheetName val="Feuil38"/>
      <sheetName val="Feuil37"/>
      <sheetName val="Feuil36"/>
      <sheetName val="Feuil35"/>
      <sheetName val="Feuil34"/>
      <sheetName val="Feuil33"/>
      <sheetName val="Feuil32"/>
      <sheetName val="Feuil31"/>
      <sheetName val="Feuil30"/>
      <sheetName val="Feuil29"/>
      <sheetName val="Feuil28"/>
      <sheetName val="Feuil27"/>
      <sheetName val="Feuil26"/>
      <sheetName val="Feuil25"/>
      <sheetName val="Feuil24"/>
      <sheetName val="Feuil23"/>
      <sheetName val="Feuil22"/>
      <sheetName val="Feuil21"/>
      <sheetName val="Feuil20"/>
      <sheetName val="Feuil19"/>
      <sheetName val="Feuil18"/>
      <sheetName val="Feuil17"/>
      <sheetName val="Feuil16"/>
      <sheetName val="Feuil15"/>
      <sheetName val="Feuil14"/>
      <sheetName val="Feuil13"/>
      <sheetName val="Feuil12"/>
      <sheetName val="Feuil11"/>
      <sheetName val="Feuil10"/>
      <sheetName val="Feuil9"/>
      <sheetName val="Feuil8"/>
      <sheetName val="Feuil7"/>
      <sheetName val="Feuil6"/>
      <sheetName val="Feuil5"/>
      <sheetName val="Feuil4"/>
      <sheetName val="Loisirs"/>
      <sheetName val="Tradi"/>
      <sheetName val="ADHERENTS"/>
      <sheetName val="liste"/>
      <sheetName val="liste complète"/>
      <sheetName val="gest adhérents"/>
      <sheetName val="Sommaire"/>
      <sheetName val="acceuil"/>
      <sheetName val="Somm.résultats"/>
      <sheetName val="points"/>
      <sheetName val="Stat.adhérents"/>
      <sheetName val="Critérium"/>
      <sheetName val="résultats"/>
      <sheetName val="Catégories-Tarifs"/>
      <sheetName val="cotisations"/>
      <sheetName val="help1"/>
      <sheetName val="Statuts"/>
      <sheetName val="règlement"/>
      <sheetName val="Admin"/>
      <sheetName val="résultats des équipes"/>
      <sheetName val="équipes"/>
      <sheetName val="calendrier"/>
      <sheetName val="fichcapitaine"/>
      <sheetName val="organigramme"/>
    </sheetNames>
    <sheetDataSet>
      <sheetData sheetId="0">
        <row r="2">
          <cell r="A2" t="str">
            <v>Nom Prénom</v>
          </cell>
        </row>
        <row r="4">
          <cell r="A4" t="str">
            <v>Sexe</v>
          </cell>
        </row>
        <row r="6">
          <cell r="A6" t="str">
            <v>Adresse</v>
          </cell>
        </row>
        <row r="8">
          <cell r="A8" t="str">
            <v>Code postal</v>
          </cell>
        </row>
        <row r="10">
          <cell r="A10" t="str">
            <v>Ville</v>
          </cell>
        </row>
        <row r="12">
          <cell r="A12" t="str">
            <v>Date de naissance</v>
          </cell>
        </row>
        <row r="14">
          <cell r="A14" t="str">
            <v>n° téléphone</v>
          </cell>
        </row>
        <row r="17">
          <cell r="A17" t="str">
            <v>Age</v>
          </cell>
        </row>
        <row r="19">
          <cell r="A19" t="str">
            <v>Licence</v>
          </cell>
        </row>
        <row r="21">
          <cell r="A21" t="str">
            <v>n° licence</v>
          </cell>
        </row>
        <row r="23">
          <cell r="A23" t="str">
            <v>Catégorie</v>
          </cell>
        </row>
        <row r="25">
          <cell r="A25" t="str">
            <v>Equipe principale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Championnat"/>
      <sheetName val="Autres résultats"/>
      <sheetName val="Tableau d_honneur"/>
      <sheetName val="Orientations"/>
      <sheetName val="Catégories_tarifs"/>
      <sheetName val="cotisations"/>
      <sheetName val="Comptes"/>
      <sheetName val="Remboursements"/>
      <sheetName val="compte rendu"/>
      <sheetName val="Licenciés"/>
      <sheetName val="Calendrier"/>
      <sheetName val="Equipes"/>
      <sheetName val="résultats d_équipe"/>
      <sheetName val="rang"/>
      <sheetName val="phase1"/>
      <sheetName val="Chtphase1"/>
    </sheetNames>
    <sheetDataSet>
      <sheetData sheetId="0">
        <row r="11">
          <cell r="F11" t="str">
            <v>2014 - 2015</v>
          </cell>
        </row>
      </sheetData>
      <sheetData sheetId="1"/>
      <sheetData sheetId="2"/>
      <sheetData sheetId="3"/>
      <sheetData sheetId="4"/>
      <sheetData sheetId="5"/>
      <sheetData sheetId="6"/>
      <sheetData sheetId="7"/>
      <sheetData sheetId="8"/>
      <sheetData sheetId="9"/>
      <sheetData sheetId="10">
        <row r="2">
          <cell r="A2" t="str">
            <v>Baudais Luc</v>
          </cell>
        </row>
        <row r="3">
          <cell r="A3" t="str">
            <v>Boulaire Emile</v>
          </cell>
        </row>
        <row r="4">
          <cell r="A4" t="str">
            <v>Canneson Alexandre</v>
          </cell>
        </row>
        <row r="5">
          <cell r="A5" t="str">
            <v>Colombel Guy</v>
          </cell>
        </row>
        <row r="6">
          <cell r="A6" t="str">
            <v>Cottignies Hubert</v>
          </cell>
        </row>
        <row r="7">
          <cell r="A7" t="str">
            <v>Couture Christophe</v>
          </cell>
        </row>
        <row r="8">
          <cell r="A8" t="str">
            <v>Couture Nicolas</v>
          </cell>
        </row>
        <row r="9">
          <cell r="A9" t="str">
            <v>Dabertrand  Benoit</v>
          </cell>
        </row>
        <row r="10">
          <cell r="A10" t="str">
            <v>Danquerque Benjamin</v>
          </cell>
        </row>
        <row r="11">
          <cell r="A11" t="str">
            <v>Dayot Franck</v>
          </cell>
        </row>
        <row r="12">
          <cell r="A12" t="str">
            <v>Drean Anthony</v>
          </cell>
        </row>
        <row r="13">
          <cell r="A13" t="str">
            <v>Fatin  Denis</v>
          </cell>
        </row>
        <row r="14">
          <cell r="A14" t="str">
            <v>Guillotin Guy</v>
          </cell>
        </row>
        <row r="15">
          <cell r="A15" t="str">
            <v>Guillotin Marie-Paule</v>
          </cell>
        </row>
        <row r="16">
          <cell r="A16" t="str">
            <v>Hubert Bruno</v>
          </cell>
        </row>
        <row r="17">
          <cell r="A17" t="str">
            <v>Jego Alan</v>
          </cell>
        </row>
        <row r="18">
          <cell r="A18" t="str">
            <v>Le Jallé Mickael</v>
          </cell>
        </row>
        <row r="19">
          <cell r="A19" t="str">
            <v>Le Noan Maxence</v>
          </cell>
        </row>
        <row r="20">
          <cell r="A20" t="str">
            <v>Logodin Didier</v>
          </cell>
        </row>
        <row r="21">
          <cell r="A21" t="str">
            <v>Mierzwa Julien</v>
          </cell>
        </row>
        <row r="22">
          <cell r="A22" t="str">
            <v>Raufflet Quentin</v>
          </cell>
        </row>
        <row r="23">
          <cell r="A23" t="str">
            <v>Raufflet Thibault</v>
          </cell>
        </row>
        <row r="24">
          <cell r="A24" t="str">
            <v>Recher Sébastien</v>
          </cell>
        </row>
        <row r="25">
          <cell r="A25" t="str">
            <v>Touche Rémy</v>
          </cell>
        </row>
        <row r="26">
          <cell r="A26" t="str">
            <v>Turpin Jacques</v>
          </cell>
        </row>
        <row r="27">
          <cell r="A27" t="str">
            <v>Vilain Benjamin</v>
          </cell>
        </row>
        <row r="28">
          <cell r="A28" t="str">
            <v>Zaragoza José</v>
          </cell>
        </row>
        <row r="29">
          <cell r="A29" t="str">
            <v>Allano Antoine</v>
          </cell>
        </row>
      </sheetData>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92"/>
      <sheetName val="Feuil91"/>
      <sheetName val="Feuil90"/>
      <sheetName val="Feuil89"/>
      <sheetName val="Feuil88"/>
      <sheetName val="Feuil87"/>
      <sheetName val="Feuil86"/>
      <sheetName val="Feuil85"/>
      <sheetName val="Feuil84"/>
      <sheetName val="Feuil83"/>
      <sheetName val="Feuil82"/>
      <sheetName val="Feuil81"/>
      <sheetName val="Feuil80"/>
      <sheetName val="Feuil79"/>
      <sheetName val="Feuil78"/>
      <sheetName val="Feuil77"/>
      <sheetName val="Feuil76"/>
      <sheetName val="Feuil75"/>
      <sheetName val="Feuil74"/>
      <sheetName val="Feuil73"/>
      <sheetName val="Feuil72"/>
      <sheetName val="Feuil71"/>
      <sheetName val="Feuil70"/>
      <sheetName val="Feuil69"/>
      <sheetName val="Feuil68"/>
      <sheetName val="Feuil67"/>
      <sheetName val="Feuil66"/>
      <sheetName val="Feuil65"/>
      <sheetName val="Feuil64"/>
      <sheetName val="Feuil63"/>
      <sheetName val="Feuil62"/>
      <sheetName val="Feuil61"/>
      <sheetName val="Feuil60"/>
      <sheetName val="Feuil59"/>
      <sheetName val="Feuil58"/>
      <sheetName val="Feuil57"/>
      <sheetName val="Feuil56"/>
      <sheetName val="Feuil55"/>
      <sheetName val="Feuil54"/>
      <sheetName val="Feuil53"/>
      <sheetName val="Feuil52"/>
      <sheetName val="Feuil51"/>
      <sheetName val="Feuil50"/>
      <sheetName val="Feuil49"/>
      <sheetName val="Feuil48"/>
      <sheetName val="Feuil47"/>
      <sheetName val="Feuil46"/>
      <sheetName val="Feuil45"/>
      <sheetName val="Feuil44"/>
      <sheetName val="Feuil43"/>
      <sheetName val="Feuil42"/>
      <sheetName val="Feuil41"/>
      <sheetName val="Feuil40"/>
      <sheetName val="Feuil39"/>
      <sheetName val="Feuil38"/>
      <sheetName val="Feuil37"/>
      <sheetName val="Feuil36"/>
      <sheetName val="Feuil35"/>
      <sheetName val="Feuil34"/>
      <sheetName val="Feuil33"/>
      <sheetName val="Feuil32"/>
      <sheetName val="Feuil31"/>
      <sheetName val="Feuil30"/>
      <sheetName val="Feuil29"/>
      <sheetName val="Feuil28"/>
      <sheetName val="Feuil27"/>
      <sheetName val="Feuil26"/>
      <sheetName val="Feuil25"/>
      <sheetName val="Feuil24"/>
      <sheetName val="Feuil23"/>
      <sheetName val="Feuil22"/>
      <sheetName val="Feuil21"/>
      <sheetName val="Feuil20"/>
      <sheetName val="Feuil19"/>
      <sheetName val="Feuil18"/>
      <sheetName val="Feuil17"/>
      <sheetName val="Feuil16"/>
      <sheetName val="Feuil15"/>
      <sheetName val="Feuil14"/>
      <sheetName val="Feuil13"/>
      <sheetName val="Feuil12"/>
      <sheetName val="Feuil11"/>
      <sheetName val="Feuil10"/>
      <sheetName val="Feuil9"/>
      <sheetName val="Feuil8"/>
      <sheetName val="Feuil7"/>
      <sheetName val="Feuil6"/>
      <sheetName val="Feuil5"/>
      <sheetName val="Feuil4"/>
      <sheetName val="Loisirs"/>
      <sheetName val="Tradi"/>
      <sheetName val="liste"/>
      <sheetName val="Bordereau(x)"/>
      <sheetName val="insriptions diverses"/>
      <sheetName val="cotisations"/>
      <sheetName val="liste complète"/>
      <sheetName val="gest adhérents"/>
      <sheetName val="Sommaire"/>
      <sheetName val="ADHERENTS"/>
      <sheetName val="acceuil"/>
      <sheetName val="Stat.adhérents"/>
      <sheetName val="Catégories-Tarifs"/>
      <sheetName val="help1"/>
      <sheetName val="Statuts"/>
      <sheetName val="règlement"/>
      <sheetName val="Admin"/>
      <sheetName val="équipes"/>
      <sheetName val="fichcapitaine"/>
      <sheetName val="organigramme"/>
      <sheetName val="Calendrier"/>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Nom Prénom</v>
          </cell>
        </row>
        <row r="3">
          <cell r="A3">
            <v>0</v>
          </cell>
        </row>
        <row r="4">
          <cell r="A4" t="str">
            <v>Sexe</v>
          </cell>
        </row>
        <row r="5">
          <cell r="A5">
            <v>0</v>
          </cell>
        </row>
        <row r="6">
          <cell r="A6" t="str">
            <v>Adresse</v>
          </cell>
        </row>
        <row r="7">
          <cell r="A7">
            <v>0</v>
          </cell>
        </row>
        <row r="8">
          <cell r="A8" t="str">
            <v>Code postal</v>
          </cell>
        </row>
        <row r="9">
          <cell r="A9">
            <v>0</v>
          </cell>
        </row>
        <row r="10">
          <cell r="A10" t="str">
            <v>Ville</v>
          </cell>
        </row>
        <row r="11">
          <cell r="A11">
            <v>0</v>
          </cell>
        </row>
        <row r="12">
          <cell r="A12" t="str">
            <v>Date de naissance</v>
          </cell>
        </row>
        <row r="13">
          <cell r="A13">
            <v>0</v>
          </cell>
        </row>
        <row r="14">
          <cell r="A14" t="str">
            <v>n° téléphone</v>
          </cell>
        </row>
        <row r="15">
          <cell r="A15">
            <v>0</v>
          </cell>
        </row>
        <row r="16">
          <cell r="A16">
            <v>0</v>
          </cell>
        </row>
        <row r="17">
          <cell r="A17" t="str">
            <v>Age</v>
          </cell>
        </row>
        <row r="18">
          <cell r="A18">
            <v>0</v>
          </cell>
        </row>
        <row r="19">
          <cell r="A19" t="str">
            <v>Licence</v>
          </cell>
        </row>
        <row r="20">
          <cell r="A20">
            <v>0</v>
          </cell>
        </row>
        <row r="21">
          <cell r="A21" t="str">
            <v>n° licence</v>
          </cell>
        </row>
        <row r="22">
          <cell r="A22">
            <v>0</v>
          </cell>
        </row>
        <row r="23">
          <cell r="A23" t="str">
            <v>Catégorie</v>
          </cell>
        </row>
        <row r="24">
          <cell r="A24">
            <v>0</v>
          </cell>
        </row>
        <row r="25">
          <cell r="A25" t="str">
            <v>Equipe principale</v>
          </cell>
        </row>
        <row r="26">
          <cell r="A26">
            <v>0</v>
          </cell>
        </row>
        <row r="27">
          <cell r="A27">
            <v>0</v>
          </cell>
        </row>
        <row r="28">
          <cell r="A28">
            <v>0</v>
          </cell>
        </row>
        <row r="29">
          <cell r="A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2">
          <cell r="A2">
            <v>0</v>
          </cell>
        </row>
      </sheetData>
      <sheetData sheetId="92"/>
      <sheetData sheetId="93">
        <row r="1">
          <cell r="A1" t="str">
            <v>FFTT</v>
          </cell>
        </row>
      </sheetData>
      <sheetData sheetId="94"/>
      <sheetData sheetId="95"/>
      <sheetData sheetId="96"/>
      <sheetData sheetId="97"/>
      <sheetData sheetId="98"/>
      <sheetData sheetId="99"/>
      <sheetData sheetId="100"/>
      <sheetData sheetId="101">
        <row r="7">
          <cell r="C7" t="str">
            <v>du</v>
          </cell>
        </row>
      </sheetData>
      <sheetData sheetId="102"/>
      <sheetData sheetId="103"/>
      <sheetData sheetId="104"/>
      <sheetData sheetId="105"/>
      <sheetData sheetId="106"/>
      <sheetData sheetId="107"/>
      <sheetData sheetId="108">
        <row r="6">
          <cell r="A6" t="str">
            <v>Comité directeur</v>
          </cell>
        </row>
      </sheetData>
      <sheetData sheetId="109"/>
      <sheetData sheetId="1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72"/>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72"/>
      <sheetName val="Feuil71"/>
      <sheetName val="Feuil70"/>
      <sheetName val="Feuil69"/>
      <sheetName val="Feuil68"/>
      <sheetName val="Feuil67"/>
      <sheetName val="Feuil66"/>
      <sheetName val="Feuil65"/>
      <sheetName val="Feuil64"/>
      <sheetName val="Feuil63"/>
      <sheetName val="Feuil62"/>
      <sheetName val="Feuil61"/>
      <sheetName val="Feuil60"/>
      <sheetName val="Feuil59"/>
      <sheetName val="Feuil58"/>
      <sheetName val="Feuil57"/>
      <sheetName val="Feuil56"/>
      <sheetName val="Feuil55"/>
      <sheetName val="Feuil54"/>
      <sheetName val="Feuil53"/>
      <sheetName val="Feuil52"/>
      <sheetName val="Feuil51"/>
      <sheetName val="Feuil50"/>
      <sheetName val="Feuil49"/>
      <sheetName val="Feuil48"/>
      <sheetName val="Feuil47"/>
      <sheetName val="Feuil46"/>
      <sheetName val="Feuil45"/>
      <sheetName val="Feuil44"/>
      <sheetName val="Feuil43"/>
      <sheetName val="Feuil42"/>
      <sheetName val="Feuil41"/>
      <sheetName val="Feuil40"/>
      <sheetName val="Feuil39"/>
      <sheetName val="Feuil38"/>
      <sheetName val="Feuil37"/>
      <sheetName val="Feuil36"/>
      <sheetName val="Feuil35"/>
      <sheetName val="Feuil34"/>
      <sheetName val="Feuil33"/>
      <sheetName val="Feuil32"/>
      <sheetName val="Feuil31"/>
      <sheetName val="Feuil30"/>
      <sheetName val="Feuil29"/>
      <sheetName val="Feuil28"/>
      <sheetName val="Feuil27"/>
      <sheetName val="Feuil26"/>
      <sheetName val="Feuil25"/>
      <sheetName val="Feuil24"/>
      <sheetName val="Feuil23"/>
      <sheetName val="Feuil22"/>
      <sheetName val="Feuil21"/>
      <sheetName val="Feuil20"/>
      <sheetName val="Feuil19"/>
      <sheetName val="Feuil18"/>
      <sheetName val="Feuil17"/>
      <sheetName val="Feuil16"/>
      <sheetName val="Feuil15"/>
      <sheetName val="Feuil14"/>
      <sheetName val="Feuil13"/>
      <sheetName val="Feuil12"/>
      <sheetName val="Feuil11"/>
      <sheetName val="Feuil10"/>
      <sheetName val="Feuil9"/>
      <sheetName val="Feuil8"/>
      <sheetName val="Feuil7"/>
      <sheetName val="Feuil6"/>
      <sheetName val="Feuil5"/>
      <sheetName val="Feuil4"/>
      <sheetName val="Loisirs"/>
      <sheetName val="Tradi"/>
      <sheetName val="liste"/>
      <sheetName val="cotisations"/>
      <sheetName val="Feuil1"/>
      <sheetName val="ma fiche"/>
      <sheetName val="liste complète"/>
      <sheetName val="gest adhérents"/>
      <sheetName val="Sommaire"/>
      <sheetName val="ADHERENTS"/>
      <sheetName val="acceuil"/>
      <sheetName val="blog stats"/>
      <sheetName val="Somm.résultats"/>
      <sheetName val="rang"/>
      <sheetName val=" joueur de l'année"/>
      <sheetName val="points"/>
      <sheetName val="résultats"/>
      <sheetName val="Stat.adhérents"/>
      <sheetName val="Critérium"/>
      <sheetName val="clt"/>
      <sheetName val="Catégories-Tarifs"/>
      <sheetName val="help1"/>
      <sheetName val="Statuts"/>
      <sheetName val="règlement"/>
      <sheetName val="Admin"/>
      <sheetName val="Poules"/>
      <sheetName val="résultats des équipes"/>
      <sheetName val="équipes"/>
      <sheetName val="calendrier"/>
      <sheetName val="fichcapitaine"/>
      <sheetName val="organigram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2">
          <cell r="B2" t="str">
            <v>Nom Prénom</v>
          </cell>
        </row>
        <row r="3">
          <cell r="B3" t="str">
            <v>Fatin  Denis</v>
          </cell>
        </row>
        <row r="4">
          <cell r="B4" t="str">
            <v>Colombel Guy</v>
          </cell>
        </row>
        <row r="5">
          <cell r="B5" t="str">
            <v>Touche Rémy</v>
          </cell>
        </row>
        <row r="6">
          <cell r="B6" t="str">
            <v>Zaragoza José</v>
          </cell>
        </row>
        <row r="7">
          <cell r="B7" t="str">
            <v>Baudais Luc</v>
          </cell>
        </row>
        <row r="8">
          <cell r="B8" t="str">
            <v>Couture Christophe</v>
          </cell>
        </row>
        <row r="9">
          <cell r="B9" t="str">
            <v>Cottignies Hubert</v>
          </cell>
        </row>
        <row r="10">
          <cell r="B10" t="str">
            <v>Hubert Bruno</v>
          </cell>
        </row>
        <row r="11">
          <cell r="B11" t="str">
            <v>Turpin Jacques</v>
          </cell>
        </row>
        <row r="12">
          <cell r="B12" t="str">
            <v>Boulaire Emile</v>
          </cell>
        </row>
        <row r="13">
          <cell r="B13" t="str">
            <v>Dayot Franck</v>
          </cell>
        </row>
        <row r="14">
          <cell r="B14" t="str">
            <v>Vilain Benjamin</v>
          </cell>
        </row>
        <row r="15">
          <cell r="B15" t="str">
            <v>Guillotin Marie-Paule</v>
          </cell>
        </row>
        <row r="16">
          <cell r="B16" t="str">
            <v>Hubert Antoine</v>
          </cell>
        </row>
        <row r="17">
          <cell r="B17" t="str">
            <v>Logodin Didier</v>
          </cell>
        </row>
        <row r="18">
          <cell r="B18" t="str">
            <v>Drean Anthony</v>
          </cell>
        </row>
        <row r="19">
          <cell r="B19" t="str">
            <v>Le Noan Maxence</v>
          </cell>
        </row>
        <row r="20">
          <cell r="B20" t="str">
            <v>Raufflet Quentin</v>
          </cell>
        </row>
        <row r="21">
          <cell r="B21" t="str">
            <v>Mierzwa Julien</v>
          </cell>
        </row>
        <row r="22">
          <cell r="B22" t="str">
            <v>Recher Sébastien</v>
          </cell>
        </row>
        <row r="23">
          <cell r="B23" t="str">
            <v>Despres Romain</v>
          </cell>
        </row>
        <row r="24">
          <cell r="B24" t="str">
            <v>Guehennec Benoit</v>
          </cell>
        </row>
      </sheetData>
      <sheetData sheetId="71" refreshError="1">
        <row r="2">
          <cell r="B2" t="str">
            <v>Cottignies Hubert</v>
          </cell>
        </row>
        <row r="3">
          <cell r="BU3" t="str">
            <v>Joueur</v>
          </cell>
          <cell r="BW3" t="str">
            <v>Promo</v>
          </cell>
          <cell r="BY3">
            <v>1</v>
          </cell>
        </row>
        <row r="4">
          <cell r="BU4" t="str">
            <v xml:space="preserve">Membre </v>
          </cell>
          <cell r="BW4" t="str">
            <v>Traditionnelle</v>
          </cell>
          <cell r="BY4">
            <v>2</v>
          </cell>
        </row>
        <row r="5">
          <cell r="BU5" t="str">
            <v>Trésorier</v>
          </cell>
          <cell r="BY5">
            <v>3</v>
          </cell>
        </row>
        <row r="6">
          <cell r="BU6" t="str">
            <v>Trésorier adjoint</v>
          </cell>
          <cell r="BY6">
            <v>4</v>
          </cell>
        </row>
        <row r="7">
          <cell r="BU7" t="str">
            <v>Secrétaire</v>
          </cell>
          <cell r="BY7">
            <v>5</v>
          </cell>
        </row>
        <row r="8">
          <cell r="BU8" t="str">
            <v>Secrétaire adjoint</v>
          </cell>
          <cell r="BY8">
            <v>6</v>
          </cell>
        </row>
        <row r="9">
          <cell r="BU9" t="str">
            <v>Vice président</v>
          </cell>
          <cell r="BY9">
            <v>7</v>
          </cell>
        </row>
        <row r="10">
          <cell r="BU10" t="str">
            <v>Président</v>
          </cell>
          <cell r="BY10">
            <v>8</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1">
          <cell r="C1" t="str">
            <v xml:space="preserve">EQUIPES :   SAISON </v>
          </cell>
        </row>
        <row r="33">
          <cell r="A33" t="str">
            <v>R1</v>
          </cell>
        </row>
        <row r="34">
          <cell r="A34" t="str">
            <v>R2</v>
          </cell>
        </row>
        <row r="35">
          <cell r="A35" t="str">
            <v>R3</v>
          </cell>
        </row>
        <row r="36">
          <cell r="A36" t="str">
            <v>Pré</v>
          </cell>
        </row>
        <row r="37">
          <cell r="A37" t="str">
            <v>D1</v>
          </cell>
        </row>
        <row r="38">
          <cell r="A38" t="str">
            <v>D2</v>
          </cell>
        </row>
        <row r="39">
          <cell r="A39" t="str">
            <v>D3</v>
          </cell>
        </row>
        <row r="40">
          <cell r="A40" t="str">
            <v>D4</v>
          </cell>
        </row>
        <row r="41">
          <cell r="A41" t="str">
            <v>cadet</v>
          </cell>
        </row>
        <row r="42">
          <cell r="A42" t="str">
            <v>minime</v>
          </cell>
        </row>
        <row r="43">
          <cell r="A43" t="str">
            <v>junior</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Rapport d_activités"/>
      <sheetName val="Championnat"/>
      <sheetName val=" joueur de l'année"/>
      <sheetName val="Autres résultats"/>
      <sheetName val="Tableau d_honneur"/>
      <sheetName val="Orientations"/>
      <sheetName val="Catégories_tarifs"/>
      <sheetName val="cotisations"/>
      <sheetName val="Comptes"/>
      <sheetName val="reçus+bilan"/>
      <sheetName val="Remboursements"/>
      <sheetName val="compte rendu"/>
      <sheetName val="Licenciés"/>
      <sheetName val="Calendrier"/>
      <sheetName val="Equipes"/>
      <sheetName val="résultats d_équipe"/>
      <sheetName val="rang"/>
      <sheetName val="phase1"/>
      <sheetName val="Chtphase1"/>
      <sheetName val="résumé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A1" t="str">
            <v>2008 / 2009</v>
          </cell>
        </row>
      </sheetData>
      <sheetData sheetId="2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premium-p1ds4k2rfmjhh3.eu.clickandbuy.com/php3/FFTTfi.php3?session=precision%3D5616305%26reqid%3D200&amp;cler=LElewVhNeIo6M" TargetMode="External"/><Relationship Id="rId13" Type="http://schemas.openxmlformats.org/officeDocument/2006/relationships/hyperlink" Target="http://premium-p1ds4k2rfmjhh3.eu.clickandbuy.com/php3/FFTTfi.php3?session=precision%3D568061%20%26reqid%3D200&amp;cler=LElewVhNeIo6M" TargetMode="External"/><Relationship Id="rId18" Type="http://schemas.openxmlformats.org/officeDocument/2006/relationships/hyperlink" Target="http://premium-p1ds4k2rfmjhh3.eu.clickandbuy.com/php3/FFTTfi.php3?session=precision%3D5612200%26reqid%3D200&amp;cler=LElewVhNeIo6M" TargetMode="External"/><Relationship Id="rId26" Type="http://schemas.openxmlformats.org/officeDocument/2006/relationships/hyperlink" Target="http://premium-p1ds4k2rfmjhh3.eu.clickandbuy.com/php3/FFTTfi.php3?session=precision%3D5617259%26reqid%3D200&amp;cler=LElewVhNeIo6M" TargetMode="External"/><Relationship Id="rId3" Type="http://schemas.openxmlformats.org/officeDocument/2006/relationships/hyperlink" Target="http://premium-p1ds4k2rfmjhh3.eu.clickandbuy.com/php3/FFTTfi.php3?session=precision%3D567155%20%26reqid%3D200&amp;cler=LElewVhNeIo6M" TargetMode="External"/><Relationship Id="rId21" Type="http://schemas.openxmlformats.org/officeDocument/2006/relationships/hyperlink" Target="http://premium-p1ds4k2rfmjhh3.eu.clickandbuy.com/php3/FFTTfi.php3?session=precision%3D5617212%26reqid%3D200&amp;cler=LElewVhNeIo6M" TargetMode="External"/><Relationship Id="rId34" Type="http://schemas.openxmlformats.org/officeDocument/2006/relationships/printerSettings" Target="../printerSettings/printerSettings1.bin"/><Relationship Id="rId7" Type="http://schemas.openxmlformats.org/officeDocument/2006/relationships/hyperlink" Target="http://premium-p1ds4k2rfmjhh3.eu.clickandbuy.com/php3/FFTTfi.php3?session=precision%3D5618074%26reqid%3D200&amp;cler=LElewVhNeIo6M" TargetMode="External"/><Relationship Id="rId12" Type="http://schemas.openxmlformats.org/officeDocument/2006/relationships/hyperlink" Target="http://premium-p1ds4k2rfmjhh3.eu.clickandbuy.com/php3/FFTTfi.php3?session=precision%3D5612944%26reqid%3D200&amp;cler=LElewVhNeIo6M" TargetMode="External"/><Relationship Id="rId17" Type="http://schemas.openxmlformats.org/officeDocument/2006/relationships/hyperlink" Target="http://premium-p1ds4k2rfmjhh3.eu.clickandbuy.com/php3/FFTTfi.php3?session=precision%3D5617733%26reqid%3D200&amp;cler=LElewVhNeIo6M" TargetMode="External"/><Relationship Id="rId25" Type="http://schemas.openxmlformats.org/officeDocument/2006/relationships/hyperlink" Target="http://premium-p1ds4k2rfmjhh3.eu.clickandbuy.com/php3/FFTTfi.php3?session=precision%3D5617728%26reqid%3D200&amp;cler=LElewVhNeIo6M" TargetMode="External"/><Relationship Id="rId33" Type="http://schemas.openxmlformats.org/officeDocument/2006/relationships/hyperlink" Target="http://premium-p1ds4k2rfmjhh3.eu.clickandbuy.com/php3/FFTTfi.php3?session=precision%3D5617437%26reqid%3D300&amp;cler=LEzdFU54wEOJ6" TargetMode="External"/><Relationship Id="rId2" Type="http://schemas.openxmlformats.org/officeDocument/2006/relationships/hyperlink" Target="http://premium-p1ds4k2rfmjhh3.eu.clickandbuy.com/php3/FFTTfi.php3?session=precision%3D5616074%26reqid%3D200&amp;cler=LElewVhNeIo6M" TargetMode="External"/><Relationship Id="rId16" Type="http://schemas.openxmlformats.org/officeDocument/2006/relationships/hyperlink" Target="http://premium-p1ds4k2rfmjhh3.eu.clickandbuy.com/php3/FFTTfi.php3?session=precision%3D5617210%26reqid%3D200&amp;cler=LElewVhNeIo6M" TargetMode="External"/><Relationship Id="rId20" Type="http://schemas.openxmlformats.org/officeDocument/2006/relationships/hyperlink" Target="http://premium-p1ds4k2rfmjhh3.eu.clickandbuy.com/php3/FFTTfi.php3?session=precision%3D5617211%26reqid%3D200&amp;cler=LElewVhNeIo6M" TargetMode="External"/><Relationship Id="rId29" Type="http://schemas.openxmlformats.org/officeDocument/2006/relationships/hyperlink" Target="http://premium-p1ds4k2rfmjhh3.eu.clickandbuy.com/php3/FFTTfi.php3?session=precision%3D5615483%26reqid%3D200&amp;cler=LEzdFU54wEOJ6" TargetMode="External"/><Relationship Id="rId1" Type="http://schemas.openxmlformats.org/officeDocument/2006/relationships/hyperlink" Target="http://www.fftt.com/sportif/pclassement/php3/FFTTlj.php3?session=reqid%3D211%26precision%3D07560006" TargetMode="External"/><Relationship Id="rId6" Type="http://schemas.openxmlformats.org/officeDocument/2006/relationships/hyperlink" Target="http://premium-p1ds4k2rfmjhh3.eu.clickandbuy.com/php3/FFTTfi.php3?session=precision%3D5617068%26reqid%3D200&amp;cler=LElewVhNeIo6M" TargetMode="External"/><Relationship Id="rId11" Type="http://schemas.openxmlformats.org/officeDocument/2006/relationships/hyperlink" Target="http://premium-p1ds4k2rfmjhh3.eu.clickandbuy.com/php3/FFTTfi.php3?session=precision%3D5610286%26reqid%3D200&amp;cler=LElewVhNeIo6M" TargetMode="External"/><Relationship Id="rId24" Type="http://schemas.openxmlformats.org/officeDocument/2006/relationships/hyperlink" Target="http://premium-p1ds4k2rfmjhh3.eu.clickandbuy.com/php3/FFTTfi.php3?session=precision%3D5617082%26reqid%3D200&amp;cler=LElewVhNeIo6M" TargetMode="External"/><Relationship Id="rId32" Type="http://schemas.openxmlformats.org/officeDocument/2006/relationships/hyperlink" Target="http://premium-p1ds4k2rfmjhh3.eu.clickandbuy.com/php3/FFTTfi.php3?session=precision%3D568995%20%26reqid%3D300&amp;cler=LEzdFU54wEOJ6" TargetMode="External"/><Relationship Id="rId5" Type="http://schemas.openxmlformats.org/officeDocument/2006/relationships/hyperlink" Target="http://premium-p1ds4k2rfmjhh3.eu.clickandbuy.com/php3/FFTTfi.php3?session=precision%3D5615484%26reqid%3D200&amp;cler=LElewVhNeIo6M" TargetMode="External"/><Relationship Id="rId15" Type="http://schemas.openxmlformats.org/officeDocument/2006/relationships/hyperlink" Target="http://premium-p1ds4k2rfmjhh3.eu.clickandbuy.com/php3/FFTTfi.php3?session=precision%3D5616533%26reqid%3D200&amp;cler=LElewVhNeIo6M" TargetMode="External"/><Relationship Id="rId23" Type="http://schemas.openxmlformats.org/officeDocument/2006/relationships/hyperlink" Target="http://premium-p1ds4k2rfmjhh3.eu.clickandbuy.com/php3/FFTTfi.php3?session=precision%3D5617255%26reqid%3D200&amp;cler=LElewVhNeIo6M" TargetMode="External"/><Relationship Id="rId28" Type="http://schemas.openxmlformats.org/officeDocument/2006/relationships/hyperlink" Target="http://premium-p1ds4k2rfmjhh3.eu.clickandbuy.com/php3/FFTTfi.php3?session=precision%3D4428055%26reqid%3D200&amp;cler=LEzdFU54wEOJ6" TargetMode="External"/><Relationship Id="rId10" Type="http://schemas.openxmlformats.org/officeDocument/2006/relationships/hyperlink" Target="http://premium-p1ds4k2rfmjhh3.eu.clickandbuy.com/php3/FFTTfi.php3?session=precision%3D5611974%26reqid%3D200&amp;cler=LElewVhNeIo6M" TargetMode="External"/><Relationship Id="rId19" Type="http://schemas.openxmlformats.org/officeDocument/2006/relationships/hyperlink" Target="http://premium-p1ds4k2rfmjhh3.eu.clickandbuy.com/php3/FFTTfi.php3?session=precision%3D5615073%26reqid%3D200&amp;cler=LElewVhNeIo6M" TargetMode="External"/><Relationship Id="rId31" Type="http://schemas.openxmlformats.org/officeDocument/2006/relationships/hyperlink" Target="http://premium-p1ds4k2rfmjhh3.eu.clickandbuy.com/php3/FFTTfi.php3?session=precision%3D5615601%26reqid%3D200&amp;cler=LEzdFU54wEOJ6" TargetMode="External"/><Relationship Id="rId4" Type="http://schemas.openxmlformats.org/officeDocument/2006/relationships/hyperlink" Target="http://premium-p1ds4k2rfmjhh3.eu.clickandbuy.com/php3/FFTTfi.php3?session=precision%3D564229%20%26reqid%3D200&amp;cler=LElewVhNeIo6M" TargetMode="External"/><Relationship Id="rId9" Type="http://schemas.openxmlformats.org/officeDocument/2006/relationships/hyperlink" Target="http://premium-p1ds4k2rfmjhh3.eu.clickandbuy.com/php3/FFTTfi.php3?session=precision%3D56174%20%20%26reqid%3D200&amp;cler=LElewVhNeIo6M" TargetMode="External"/><Relationship Id="rId14" Type="http://schemas.openxmlformats.org/officeDocument/2006/relationships/hyperlink" Target="http://premium-p1ds4k2rfmjhh3.eu.clickandbuy.com/php3/FFTTfi.php3?session=precision%3D5617727%26reqid%3D200&amp;cler=LElewVhNeIo6M" TargetMode="External"/><Relationship Id="rId22" Type="http://schemas.openxmlformats.org/officeDocument/2006/relationships/hyperlink" Target="http://premium-p1ds4k2rfmjhh3.eu.clickandbuy.com/php3/FFTTfi.php3?session=precision%3D7844662%26reqid%3D200&amp;cler=LElewVhNeIo6M" TargetMode="External"/><Relationship Id="rId27" Type="http://schemas.openxmlformats.org/officeDocument/2006/relationships/hyperlink" Target="http://premium-p1ds4k2rfmjhh3.eu.clickandbuy.com/php3/FFTTfi.php3?session=precision%3D5617000%26reqid%3D200&amp;cler=LEzdFU54wEOJ6" TargetMode="External"/><Relationship Id="rId30" Type="http://schemas.openxmlformats.org/officeDocument/2006/relationships/hyperlink" Target="http://premium-p1ds4k2rfmjhh3.eu.clickandbuy.com/php3/FFTTfi.php3?session=precision%3D5921179%26reqid%3D200&amp;cler=LEzdFU54wEOJ6" TargetMode="External"/><Relationship Id="rId35"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fftt.com/nclassement/php3/FFTTfi.php3?session=precision%3D5611882%26reqid%3D200&amp;cler=LEKFmJSo/CDOU" TargetMode="External"/><Relationship Id="rId7" Type="http://schemas.openxmlformats.org/officeDocument/2006/relationships/hyperlink" Target="http://www.fftt.com/nclassement/php3/FFTTfi.php3?session=precision%3D5611882%26reqid%3D200&amp;cler=LEKFmJSo/CDOU" TargetMode="External"/><Relationship Id="rId2" Type="http://schemas.openxmlformats.org/officeDocument/2006/relationships/hyperlink" Target="http://www.fftt.com/nclassement/php3/FFTTfi.php3?session=precision%3D5611736%26reqid%3D200&amp;cler=LEKFmJSo/CDOU" TargetMode="External"/><Relationship Id="rId1" Type="http://schemas.openxmlformats.org/officeDocument/2006/relationships/hyperlink" Target="http://www.fftt.com/nclassement/php3/FFTTfi.php3?session=precision%3D5611646%26reqid%3D200&amp;cler=LEKFmJSo/CDOU" TargetMode="External"/><Relationship Id="rId6" Type="http://schemas.openxmlformats.org/officeDocument/2006/relationships/hyperlink" Target="http://www.fftt.com/nclassement/php3/FFTTfi.php3?session=precision%3D5611015%26reqid%3D200&amp;cler=LEKFmJSo/CDOU" TargetMode="External"/><Relationship Id="rId5" Type="http://schemas.openxmlformats.org/officeDocument/2006/relationships/hyperlink" Target="http://www.fftt.com/nclassement/php3/FFTTfi.php3?session=precision%3D56174%26reqid%3D200&amp;cler=LEKFmJSo/CDOU" TargetMode="External"/><Relationship Id="rId4" Type="http://schemas.openxmlformats.org/officeDocument/2006/relationships/hyperlink" Target="http://www.fftt.com/nclassement/php3/FFTTfi.php3?session=precision%3D5611015%26reqid%3D200&amp;cler=LEKFmJSo/CDO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image" Target="../media/image6.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00"/>
  <sheetViews>
    <sheetView topLeftCell="I9" zoomScale="75" zoomScaleNormal="75" workbookViewId="0">
      <selection activeCell="AD15" sqref="AD15"/>
    </sheetView>
  </sheetViews>
  <sheetFormatPr baseColWidth="10" defaultRowHeight="13.5"/>
  <cols>
    <col min="1" max="1" width="5.28515625" style="565" customWidth="1"/>
    <col min="2" max="2" width="25.85546875" style="952" customWidth="1"/>
    <col min="3" max="3" width="5.140625" style="953" customWidth="1"/>
    <col min="4" max="4" width="4.42578125" style="565" customWidth="1"/>
    <col min="5" max="5" width="7.140625" style="954" customWidth="1"/>
    <col min="6" max="7" width="7.28515625" style="955" customWidth="1"/>
    <col min="8" max="8" width="7.5703125" style="956" customWidth="1"/>
    <col min="9" max="9" width="7.5703125" style="957" customWidth="1"/>
    <col min="10" max="10" width="6.85546875" style="956" customWidth="1"/>
    <col min="11" max="12" width="7" style="956" customWidth="1"/>
    <col min="13" max="13" width="6.5703125" style="957" bestFit="1" customWidth="1"/>
    <col min="14" max="14" width="8.28515625" style="956" customWidth="1"/>
    <col min="15" max="15" width="5" style="956" hidden="1" customWidth="1"/>
    <col min="16" max="16" width="6.5703125" style="629" bestFit="1" customWidth="1"/>
    <col min="17" max="17" width="7.85546875" style="629" bestFit="1" customWidth="1"/>
    <col min="18" max="18" width="8" style="572" customWidth="1"/>
    <col min="19" max="19" width="10.28515625" style="573" hidden="1" customWidth="1"/>
    <col min="20" max="21" width="6.5703125" style="565" bestFit="1" customWidth="1"/>
    <col min="22" max="22" width="6.140625" style="565" customWidth="1"/>
    <col min="23" max="23" width="5.85546875" style="565" customWidth="1"/>
    <col min="24" max="24" width="8.140625" style="577" customWidth="1"/>
    <col min="25" max="25" width="6" style="565" customWidth="1"/>
    <col min="26" max="26" width="4.42578125" style="578" customWidth="1"/>
    <col min="27" max="27" width="28.140625" style="950" bestFit="1" customWidth="1"/>
    <col min="28" max="28" width="9.140625" style="81" customWidth="1"/>
    <col min="29" max="29" width="12.42578125" style="81" customWidth="1"/>
    <col min="30" max="30" width="27.7109375" style="951" customWidth="1"/>
    <col min="31" max="31" width="8.85546875" style="81" customWidth="1"/>
    <col min="32" max="32" width="7.85546875" style="81" customWidth="1"/>
    <col min="33" max="33" width="12.85546875" style="81" customWidth="1"/>
    <col min="34" max="34" width="30.85546875" style="81" customWidth="1"/>
    <col min="35" max="35" width="10.7109375" style="951" customWidth="1"/>
    <col min="36" max="36" width="15.140625" style="169" customWidth="1"/>
    <col min="37" max="37" width="4.28515625" style="169" customWidth="1"/>
    <col min="38" max="38" width="24.5703125" style="169" customWidth="1"/>
    <col min="39" max="39" width="3.42578125" style="582" customWidth="1"/>
    <col min="40" max="40" width="4.7109375" style="582" customWidth="1"/>
    <col min="41" max="41" width="3.42578125" style="582" customWidth="1"/>
    <col min="42" max="42" width="5.7109375" style="582" customWidth="1"/>
    <col min="43" max="43" width="3.42578125" style="582" customWidth="1"/>
    <col min="44" max="44" width="5.7109375" style="582" customWidth="1"/>
    <col min="45" max="45" width="3.42578125" style="582" customWidth="1"/>
    <col min="46" max="46" width="5.140625" style="582" customWidth="1"/>
    <col min="47" max="47" width="3.42578125" style="582" customWidth="1"/>
    <col min="48" max="48" width="5.7109375" style="582" customWidth="1"/>
    <col min="49" max="49" width="4.28515625" style="582" customWidth="1"/>
    <col min="50" max="50" width="6.5703125" style="582" customWidth="1"/>
    <col min="51" max="51" width="4.28515625" style="582" customWidth="1"/>
    <col min="52" max="52" width="6.5703125" style="582" customWidth="1"/>
    <col min="53" max="53" width="4.28515625" style="582" customWidth="1"/>
    <col min="54" max="54" width="7.140625" style="582" customWidth="1"/>
    <col min="55" max="55" width="4.28515625" style="582" customWidth="1"/>
    <col min="56" max="56" width="6.5703125" style="582" customWidth="1"/>
    <col min="57" max="57" width="4.28515625" style="582" customWidth="1"/>
    <col min="58" max="58" width="6.5703125" style="582" customWidth="1"/>
    <col min="59" max="59" width="4.28515625" style="582" customWidth="1"/>
    <col min="60" max="60" width="5.7109375" style="582" customWidth="1"/>
    <col min="61" max="61" width="4.28515625" style="582" customWidth="1"/>
    <col min="62" max="62" width="5.42578125" style="582" customWidth="1"/>
    <col min="63" max="63" width="4.28515625" style="582" customWidth="1"/>
    <col min="64" max="64" width="5.7109375" style="582" customWidth="1"/>
    <col min="65" max="65" width="4.28515625" style="582" customWidth="1"/>
    <col min="66" max="66" width="6.7109375" style="582" customWidth="1"/>
    <col min="67" max="67" width="4.28515625" style="582" customWidth="1"/>
    <col min="68" max="68" width="4.7109375" style="582" customWidth="1"/>
    <col min="69" max="69" width="4.5703125" style="582" customWidth="1"/>
    <col min="70" max="70" width="4.7109375" style="582" customWidth="1"/>
    <col min="71" max="71" width="7.7109375" style="582" customWidth="1"/>
    <col min="72" max="72" width="8.28515625" style="583" customWidth="1"/>
    <col min="73" max="73" width="6.7109375" style="584" customWidth="1"/>
    <col min="74" max="74" width="11" style="585" customWidth="1"/>
    <col min="75" max="75" width="14" style="586" customWidth="1"/>
    <col min="76" max="76" width="23.7109375" style="587" customWidth="1"/>
    <col min="77" max="77" width="8.7109375" style="587" customWidth="1"/>
    <col min="78" max="78" width="12.5703125" style="587" customWidth="1"/>
    <col min="79" max="79" width="11.42578125" style="587" customWidth="1"/>
    <col min="80" max="80" width="10.85546875" style="587" customWidth="1"/>
    <col min="81" max="81" width="8.140625" style="958" customWidth="1"/>
    <col min="82" max="82" width="14.28515625" style="958" customWidth="1"/>
    <col min="83" max="84" width="5.5703125" style="959" customWidth="1"/>
    <col min="85" max="85" width="4.5703125" style="959" customWidth="1"/>
    <col min="86" max="86" width="5.5703125" style="960" customWidth="1"/>
    <col min="87" max="87" width="5.5703125" style="961" customWidth="1"/>
    <col min="88" max="88" width="5.85546875" style="591" customWidth="1"/>
    <col min="89" max="89" width="10" style="591" bestFit="1" customWidth="1"/>
    <col min="90" max="90" width="7.42578125" style="591" bestFit="1" customWidth="1"/>
    <col min="91" max="91" width="8.7109375" customWidth="1"/>
    <col min="92" max="92" width="9.140625" customWidth="1"/>
    <col min="93" max="93" width="8.85546875" customWidth="1"/>
    <col min="94" max="94" width="6.28515625" bestFit="1" customWidth="1"/>
    <col min="95" max="95" width="5.5703125" customWidth="1"/>
    <col min="96" max="97" width="5.140625" style="296" customWidth="1"/>
    <col min="98" max="98" width="5" customWidth="1"/>
    <col min="99" max="99" width="4.7109375" customWidth="1"/>
    <col min="100" max="100" width="7.140625" bestFit="1" customWidth="1"/>
    <col min="101" max="101" width="3.7109375" style="565" bestFit="1" customWidth="1"/>
    <col min="102" max="102" width="5.5703125" style="565" bestFit="1" customWidth="1"/>
    <col min="103" max="103" width="4" style="565" customWidth="1"/>
    <col min="104" max="104" width="4.7109375" style="565" bestFit="1" customWidth="1"/>
    <col min="105" max="105" width="4" style="565" customWidth="1"/>
    <col min="106" max="106" width="6.42578125" style="565" customWidth="1"/>
    <col min="107" max="107" width="3.7109375" style="565" customWidth="1"/>
    <col min="108" max="108" width="4.28515625" style="565" customWidth="1"/>
    <col min="109" max="110" width="8.7109375" style="565" customWidth="1"/>
    <col min="111" max="111" width="23.42578125" style="573" bestFit="1" customWidth="1"/>
    <col min="112" max="112" width="4.140625" style="573" bestFit="1" customWidth="1"/>
    <col min="113" max="113" width="10.28515625" style="573" customWidth="1"/>
    <col min="114" max="114" width="5.5703125" style="565" bestFit="1" customWidth="1"/>
    <col min="115" max="115" width="6.140625" style="565" customWidth="1"/>
    <col min="116" max="116" width="5.5703125" style="565" customWidth="1"/>
    <col min="117" max="117" width="4" style="565" customWidth="1"/>
    <col min="118" max="119" width="3.7109375" style="565" customWidth="1"/>
    <col min="120" max="120" width="4.28515625" style="565" customWidth="1"/>
    <col min="121" max="121" width="3.7109375" bestFit="1" customWidth="1"/>
    <col min="122" max="122" width="6.5703125" bestFit="1" customWidth="1"/>
    <col min="124" max="124" width="3.140625" bestFit="1" customWidth="1"/>
  </cols>
  <sheetData>
    <row r="1" spans="1:125" s="554" customFormat="1" ht="27" customHeight="1">
      <c r="A1" s="183"/>
      <c r="E1" s="555" t="s">
        <v>640</v>
      </c>
      <c r="F1" s="556"/>
      <c r="G1" s="556"/>
      <c r="H1" s="557"/>
      <c r="I1" s="555"/>
      <c r="J1" s="557" t="str">
        <f>[10]Sommaire!F2</f>
        <v>2014 / 2015</v>
      </c>
      <c r="K1" s="557"/>
      <c r="L1" s="557"/>
      <c r="M1" s="555"/>
      <c r="N1" s="557"/>
      <c r="O1" s="557"/>
      <c r="P1" s="558"/>
      <c r="S1" s="558"/>
      <c r="T1" s="559"/>
      <c r="U1" s="559"/>
      <c r="V1" s="559"/>
      <c r="W1" s="559"/>
      <c r="X1" s="555"/>
      <c r="Y1" s="559"/>
      <c r="Z1" s="558"/>
      <c r="AH1" s="560">
        <f ca="1">TODAY()</f>
        <v>42169</v>
      </c>
      <c r="BT1" s="561"/>
      <c r="BU1" s="562"/>
      <c r="BV1" s="563"/>
      <c r="BW1" s="564"/>
      <c r="BX1" s="561"/>
      <c r="BY1" s="561"/>
      <c r="BZ1" s="561"/>
      <c r="CA1" s="561"/>
      <c r="CB1" s="561"/>
      <c r="CC1" s="561"/>
      <c r="CD1" s="561"/>
      <c r="CE1" s="561"/>
      <c r="CF1" s="561"/>
      <c r="CG1" s="561"/>
      <c r="CH1" s="561"/>
      <c r="CI1" s="561"/>
      <c r="CM1" s="558"/>
      <c r="CN1" s="558"/>
      <c r="CO1" s="558"/>
      <c r="CP1" s="558"/>
      <c r="CQ1" s="558"/>
      <c r="CR1" s="558"/>
      <c r="CS1" s="558"/>
      <c r="CT1" s="558"/>
      <c r="CU1" s="558"/>
      <c r="CV1" s="558"/>
      <c r="CW1" s="558"/>
      <c r="CX1" s="558"/>
      <c r="CY1" s="558"/>
      <c r="CZ1" s="558"/>
      <c r="DA1" s="558"/>
      <c r="DB1" s="558"/>
      <c r="DC1" s="558"/>
      <c r="DD1" s="558"/>
      <c r="DE1" s="558"/>
      <c r="DF1" s="558"/>
      <c r="DI1" s="558"/>
      <c r="DJ1" s="558"/>
      <c r="DK1" s="558"/>
      <c r="DL1" s="558"/>
      <c r="DM1" s="558"/>
      <c r="DN1" s="558"/>
      <c r="DO1" s="558"/>
      <c r="DP1" s="558"/>
    </row>
    <row r="2" spans="1:125" ht="51.75" customHeight="1">
      <c r="B2" s="566"/>
      <c r="C2" s="565"/>
      <c r="E2" s="567"/>
      <c r="F2" s="568"/>
      <c r="G2" s="568"/>
      <c r="H2" s="569"/>
      <c r="I2" s="570"/>
      <c r="J2" s="569"/>
      <c r="K2" s="569"/>
      <c r="L2" s="569"/>
      <c r="M2" s="570"/>
      <c r="N2" s="569"/>
      <c r="O2" s="569"/>
      <c r="P2" s="571"/>
      <c r="Q2" s="571"/>
      <c r="T2" s="574" t="s">
        <v>463</v>
      </c>
      <c r="U2" s="575"/>
      <c r="V2" s="575"/>
      <c r="W2" s="576"/>
      <c r="Z2" s="672"/>
      <c r="AA2" s="673" t="s">
        <v>24</v>
      </c>
      <c r="AB2" s="962" t="s">
        <v>639</v>
      </c>
      <c r="AC2" s="580"/>
      <c r="AD2" s="579" t="str">
        <f>IF(AD3="","","Meilleures Progressions de l'année")</f>
        <v>Meilleures Progressions de l'année</v>
      </c>
      <c r="AE2" s="166"/>
      <c r="AF2" s="166"/>
      <c r="AG2" s="581"/>
      <c r="AH2" s="579" t="str">
        <f ca="1">IF(AH3="","","Meilleurs Pourcentages de l'année")</f>
        <v>Meilleurs Pourcentages de l'année</v>
      </c>
      <c r="AI2" s="167"/>
      <c r="CC2" s="588"/>
      <c r="CD2" s="588"/>
      <c r="CE2" s="589"/>
      <c r="CF2" s="589"/>
      <c r="CG2" s="589"/>
      <c r="CH2" s="561"/>
      <c r="CI2" s="561">
        <v>1</v>
      </c>
      <c r="CJ2" s="590" t="s">
        <v>464</v>
      </c>
      <c r="CM2" s="156"/>
      <c r="CN2" s="156"/>
      <c r="CO2" s="156"/>
      <c r="CP2" s="156"/>
      <c r="CQ2" s="156"/>
      <c r="CR2" s="167"/>
      <c r="CS2" s="167"/>
      <c r="CT2" s="156"/>
      <c r="CU2" s="156"/>
    </row>
    <row r="3" spans="1:125" ht="18">
      <c r="B3" s="566"/>
      <c r="C3" s="565"/>
      <c r="E3" s="567"/>
      <c r="F3" s="568"/>
      <c r="G3" s="568"/>
      <c r="H3" s="569"/>
      <c r="I3" s="570"/>
      <c r="J3" s="569"/>
      <c r="K3" s="569"/>
      <c r="L3" s="569"/>
      <c r="M3" s="570"/>
      <c r="N3" s="569"/>
      <c r="O3" s="569"/>
      <c r="P3" s="571"/>
      <c r="Q3" s="571"/>
      <c r="R3" s="1162" t="str">
        <f ca="1">ROUND((VLOOKUP(T3,[10]liste!$B$2:$M$100,12,FALSE)+VLOOKUP(T4,[10]liste!$B$2:$M$100,12,FALSE)+VLOOKUP(T5,[10]liste!$B$2:$M$100,12,FALSE)+VLOOKUP(T6,[10]liste!$B$2:$M$100,12,FALSE)+VLOOKUP(T7,[10]liste!$B$2:$M$100,12,FALSE))/5,0)&amp;" ans de moyenne"</f>
        <v>17 ans de moyenne</v>
      </c>
      <c r="T3" s="592" t="str">
        <f ca="1">VLOOKUP(W3,$V$16:$AL$56,17,FALSE)</f>
        <v>Morin Léa</v>
      </c>
      <c r="U3" s="593"/>
      <c r="V3" s="594"/>
      <c r="W3" s="595">
        <f ca="1">LARGE($V$16:$V$56,1)</f>
        <v>22.00009573145703</v>
      </c>
      <c r="X3" s="596" t="str">
        <f ca="1">ROUND(W3/VLOOKUP(T3,$B$16:$U$61,20,FALSE),2)*100&amp;" %"</f>
        <v>22 %</v>
      </c>
      <c r="Z3" s="597">
        <v>1</v>
      </c>
      <c r="AA3" s="177" t="str">
        <f>IF(B16="","",VLOOKUP(1,A16:B81,2,FALSE))</f>
        <v>Brient Jean-François</v>
      </c>
      <c r="AB3" s="702" t="str">
        <f t="shared" ref="AB3:AB12" si="0">IF(VLOOKUP(AA3,DG:DH,2,FALSE)=0,"",IF(VLOOKUP(AA3,DG:DH,2,FALSE)&gt;0,"+ "&amp;VLOOKUP(AA3,DG:DH,2,FALSE),VLOOKUP(AA3,DG:DH,2,FALSE)))</f>
        <v/>
      </c>
      <c r="AC3" s="598"/>
      <c r="AD3" s="173" t="str">
        <f>IF(F15="","",VLOOKUP(AE3,Q16:S84,3,FALSE))</f>
        <v>Hilton Franck</v>
      </c>
      <c r="AE3" s="179">
        <f>LARGE(Q16:Q84,1)</f>
        <v>402.93299999999999</v>
      </c>
      <c r="AF3" s="599" t="str">
        <f t="shared" ref="AF3:AF12" ca="1" si="1">IF(VLOOKUP(AD3,B:C,2,FALSE)=VLOOKUP(AD3,B:S,3,FALSE),"",VLOOKUP(AD3,B:C,2,FALSE)&amp;" à "&amp;VLOOKUP(AD3,B:S,3,FALSE))</f>
        <v>9 à 13</v>
      </c>
      <c r="AG3" s="581"/>
      <c r="AH3" s="173" t="str">
        <f ca="1">IF(AI3=0,"",VLOOKUP(AI3,R:S,2,FALSE))</f>
        <v>Zaragoza José</v>
      </c>
      <c r="AI3" s="174">
        <f ca="1">LARGE(R:R,1)</f>
        <v>0.91668285926808657</v>
      </c>
      <c r="AL3" s="581"/>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CC3" s="588"/>
      <c r="CD3" s="588"/>
      <c r="CE3" s="589"/>
      <c r="CF3" s="589"/>
      <c r="CG3" s="589"/>
      <c r="CH3" s="561"/>
      <c r="CI3" s="561">
        <v>2</v>
      </c>
      <c r="CJ3" s="590" t="s">
        <v>465</v>
      </c>
      <c r="CM3" s="156"/>
      <c r="CN3" s="156"/>
      <c r="CO3" s="156"/>
      <c r="CP3" s="156"/>
      <c r="CQ3" s="156"/>
      <c r="CR3" s="167"/>
      <c r="CS3" s="167"/>
      <c r="CT3" s="156"/>
      <c r="CU3" s="156"/>
      <c r="CY3" s="156"/>
    </row>
    <row r="4" spans="1:125" ht="18">
      <c r="B4" s="566"/>
      <c r="C4" s="565"/>
      <c r="E4" s="567"/>
      <c r="F4" s="568"/>
      <c r="G4" s="568"/>
      <c r="H4" s="569"/>
      <c r="I4" s="570"/>
      <c r="J4" s="569"/>
      <c r="K4" s="569"/>
      <c r="L4" s="569"/>
      <c r="M4" s="570"/>
      <c r="N4" s="569"/>
      <c r="O4" s="569"/>
      <c r="P4" s="571"/>
      <c r="Q4" s="571"/>
      <c r="R4" s="1163"/>
      <c r="T4" s="601" t="str">
        <f ca="1">VLOOKUP(W4,$V$16:$AL$56,17,FALSE)</f>
        <v>Zaragoza Quentin</v>
      </c>
      <c r="U4" s="602"/>
      <c r="V4" s="603"/>
      <c r="W4" s="595">
        <f ca="1">LARGE($V$16:$V$56,2)</f>
        <v>20.00001140214351</v>
      </c>
      <c r="X4" s="596" t="str">
        <f t="shared" ref="X4:X11" ca="1" si="2">ROUND(W4/VLOOKUP(T4,$B$16:$U$61,20,FALSE),2)*100&amp;" %"</f>
        <v>24 %</v>
      </c>
      <c r="Z4" s="604">
        <v>2</v>
      </c>
      <c r="AA4" s="177" t="str">
        <f>IF(B17="","",VLOOKUP(2,A16:B81,2,FALSE))</f>
        <v>Flégeau Matthieu</v>
      </c>
      <c r="AB4" s="702" t="str">
        <f t="shared" si="0"/>
        <v>+ 1</v>
      </c>
      <c r="AC4" s="598"/>
      <c r="AD4" s="173" t="str">
        <f>IF(F15="","",VLOOKUP(AE4,Q16:S84,3,FALSE))</f>
        <v>Zaragoza Quentin</v>
      </c>
      <c r="AE4" s="179">
        <f>LARGE(Q16:Q84,2)</f>
        <v>151.95299999999997</v>
      </c>
      <c r="AF4" s="599" t="str">
        <f t="shared" ca="1" si="1"/>
        <v>5 à 6</v>
      </c>
      <c r="AG4" s="581"/>
      <c r="AH4" s="173" t="str">
        <f t="shared" ref="AH4:AH12" ca="1" si="3">IF(AI4=0,"",VLOOKUP(AI4,R:S,2,FALSE))</f>
        <v>Brient Jean-François</v>
      </c>
      <c r="AI4" s="174">
        <f ca="1">LARGE(R:R,2)</f>
        <v>0.89711551121408861</v>
      </c>
      <c r="AL4" s="581"/>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CC4" s="588"/>
      <c r="CD4" s="588"/>
      <c r="CE4" s="589"/>
      <c r="CF4" s="589"/>
      <c r="CG4" s="589"/>
      <c r="CH4" s="561"/>
      <c r="CI4" s="561">
        <v>3</v>
      </c>
      <c r="CJ4" s="590" t="s">
        <v>466</v>
      </c>
      <c r="CM4" s="156"/>
      <c r="CN4" s="156"/>
      <c r="CO4" s="156"/>
      <c r="CP4" s="156"/>
      <c r="CQ4" s="156"/>
      <c r="CR4" s="167"/>
      <c r="CS4" s="167"/>
      <c r="CT4" s="156"/>
      <c r="CU4" s="156"/>
      <c r="CY4" s="156"/>
    </row>
    <row r="5" spans="1:125" ht="20.25">
      <c r="B5" s="566"/>
      <c r="C5" s="565"/>
      <c r="E5" s="567"/>
      <c r="F5" s="568"/>
      <c r="G5" s="568"/>
      <c r="H5" s="569"/>
      <c r="I5" s="570"/>
      <c r="J5" s="569"/>
      <c r="K5" s="569"/>
      <c r="L5" s="569"/>
      <c r="M5" s="570"/>
      <c r="N5" s="569"/>
      <c r="O5" s="569"/>
      <c r="P5" s="571"/>
      <c r="Q5" s="571"/>
      <c r="R5" s="1163"/>
      <c r="T5" s="601" t="str">
        <f ca="1">VLOOKUP(W5,$V$16:$AL$56,17,FALSE)</f>
        <v>Morin Quentin</v>
      </c>
      <c r="U5" s="602"/>
      <c r="V5" s="603"/>
      <c r="W5" s="595">
        <f ca="1">LARGE($V$16:$V$56,3)</f>
        <v>15.00006877502935</v>
      </c>
      <c r="X5" s="596" t="str">
        <f t="shared" ca="1" si="2"/>
        <v>16 %</v>
      </c>
      <c r="Z5" s="604">
        <v>3</v>
      </c>
      <c r="AA5" s="177" t="str">
        <f>IF(B18="","",VLOOKUP(3,A16:B81,2,FALSE))</f>
        <v>Beyl Yann</v>
      </c>
      <c r="AB5" s="702">
        <f t="shared" si="0"/>
        <v>-1</v>
      </c>
      <c r="AC5" s="598"/>
      <c r="AD5" s="173" t="str">
        <f>IF(F15="","",VLOOKUP(AE5,Q16:S84,3,FALSE))</f>
        <v>Morin Quentin</v>
      </c>
      <c r="AE5" s="179">
        <f>LARGE(Q16:Q84,3)</f>
        <v>141.97799999999995</v>
      </c>
      <c r="AF5" s="599" t="str">
        <f t="shared" ca="1" si="1"/>
        <v>8 à 10</v>
      </c>
      <c r="AG5" s="581"/>
      <c r="AH5" s="173" t="str">
        <f t="shared" ca="1" si="3"/>
        <v>Nicolas Jérémy</v>
      </c>
      <c r="AI5" s="174">
        <f ca="1">LARGE(R:R,3)</f>
        <v>0.8334252554246061</v>
      </c>
      <c r="AL5" s="581"/>
      <c r="AM5" s="605"/>
      <c r="AN5" s="605"/>
      <c r="AO5" s="605"/>
      <c r="AP5" s="605"/>
      <c r="AQ5" s="605"/>
      <c r="AR5" s="605"/>
      <c r="AS5" s="605"/>
      <c r="AT5" s="605"/>
      <c r="AU5" s="605"/>
      <c r="AV5" s="605"/>
      <c r="AW5" s="605"/>
      <c r="AX5" s="605"/>
      <c r="AY5" s="605"/>
      <c r="AZ5" s="605"/>
      <c r="BA5" s="605"/>
      <c r="BB5" s="605"/>
      <c r="BC5" s="605"/>
      <c r="BD5" s="605"/>
      <c r="BE5" s="605"/>
      <c r="BF5" s="605"/>
      <c r="BG5" s="605"/>
      <c r="BH5" s="605"/>
      <c r="BI5" s="605"/>
      <c r="BJ5" s="605"/>
      <c r="BK5" s="605"/>
      <c r="BL5" s="605"/>
      <c r="BM5" s="605"/>
      <c r="BN5" s="605"/>
      <c r="BO5" s="605"/>
      <c r="BP5" s="605"/>
      <c r="BQ5" s="605"/>
      <c r="BR5" s="605"/>
      <c r="BS5" s="605"/>
      <c r="CC5" s="588"/>
      <c r="CD5" s="588"/>
      <c r="CE5" s="589"/>
      <c r="CF5" s="589"/>
      <c r="CG5" s="589"/>
      <c r="CH5" s="561"/>
      <c r="CI5" s="561">
        <v>4</v>
      </c>
      <c r="CJ5" s="590" t="s">
        <v>467</v>
      </c>
      <c r="CM5" s="156"/>
      <c r="CN5" s="156"/>
      <c r="CO5" s="156"/>
      <c r="CP5" s="156"/>
      <c r="CQ5" s="156"/>
      <c r="CR5" s="167"/>
      <c r="CS5" s="167"/>
      <c r="CT5" s="156"/>
      <c r="CU5" s="156"/>
      <c r="CY5" s="156"/>
    </row>
    <row r="6" spans="1:125" ht="21">
      <c r="B6" s="566"/>
      <c r="C6" s="565"/>
      <c r="E6" s="567"/>
      <c r="F6" s="568"/>
      <c r="G6" s="568"/>
      <c r="H6" s="569"/>
      <c r="I6" s="570"/>
      <c r="J6" s="569"/>
      <c r="K6" s="569"/>
      <c r="L6" s="569"/>
      <c r="M6" s="570"/>
      <c r="N6" s="569"/>
      <c r="O6" s="569"/>
      <c r="P6" s="571"/>
      <c r="Q6" s="571"/>
      <c r="R6" s="1163"/>
      <c r="T6" s="601" t="str">
        <f ca="1">VLOOKUP(W6,$V$16:$AL$56,17,FALSE)</f>
        <v>Le Garnec Sacha</v>
      </c>
      <c r="U6" s="602"/>
      <c r="V6" s="603"/>
      <c r="W6" s="595">
        <f ca="1">LARGE($V$16:$V$56,4)</f>
        <v>12.000035667106529</v>
      </c>
      <c r="X6" s="596" t="str">
        <f t="shared" ca="1" si="2"/>
        <v>29 %</v>
      </c>
      <c r="Z6" s="606">
        <v>4</v>
      </c>
      <c r="AA6" s="178" t="str">
        <f>IF(B19="","",VLOOKUP(4,A16:B81,2,FALSE))</f>
        <v>Couture Nicolas</v>
      </c>
      <c r="AB6" s="702" t="str">
        <f t="shared" si="0"/>
        <v/>
      </c>
      <c r="AC6" s="598"/>
      <c r="AD6" s="175" t="str">
        <f>IF(F19="","",VLOOKUP(AE6,Q16:S84,3,FALSE))</f>
        <v>Morin Léa</v>
      </c>
      <c r="AE6" s="181">
        <f>LARGE(Q16:Q84,4)</f>
        <v>136.95000000000005</v>
      </c>
      <c r="AF6" s="599" t="str">
        <f t="shared" ca="1" si="1"/>
        <v>6 à 8</v>
      </c>
      <c r="AG6" s="581"/>
      <c r="AH6" s="175" t="str">
        <f t="shared" ca="1" si="3"/>
        <v>Roszak Clément</v>
      </c>
      <c r="AI6" s="176">
        <f ca="1">LARGE(R:R,4)</f>
        <v>0.80002519170449704</v>
      </c>
      <c r="AL6" s="581"/>
      <c r="AM6" s="607"/>
      <c r="AN6" s="607"/>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CC6" s="588"/>
      <c r="CD6" s="588"/>
      <c r="CE6" s="589"/>
      <c r="CF6" s="589"/>
      <c r="CG6" s="589"/>
      <c r="CH6" s="561"/>
      <c r="CI6" s="561">
        <v>5</v>
      </c>
      <c r="CJ6" s="590" t="s">
        <v>468</v>
      </c>
      <c r="CM6" s="156"/>
      <c r="CN6" s="156"/>
      <c r="CO6" s="156"/>
      <c r="CP6" s="156"/>
      <c r="CQ6" s="156"/>
      <c r="CR6" s="167"/>
      <c r="CS6" s="167"/>
      <c r="CT6" s="156"/>
      <c r="CU6" s="156"/>
      <c r="CY6" s="156"/>
    </row>
    <row r="7" spans="1:125" ht="20.25">
      <c r="B7" s="566"/>
      <c r="C7" s="565"/>
      <c r="E7" s="567"/>
      <c r="F7" s="568"/>
      <c r="G7" s="568"/>
      <c r="H7" s="569"/>
      <c r="I7" s="570"/>
      <c r="J7" s="569"/>
      <c r="K7" s="569"/>
      <c r="L7" s="569"/>
      <c r="M7" s="570"/>
      <c r="N7" s="569"/>
      <c r="O7" s="569"/>
      <c r="P7" s="571"/>
      <c r="Q7" s="571"/>
      <c r="R7" s="1163"/>
      <c r="T7" s="608" t="str">
        <f ca="1">VLOOKUP(W7,$V$16:$AL$56,17,FALSE)</f>
        <v>Rochefort Reginald</v>
      </c>
      <c r="U7" s="609"/>
      <c r="V7" s="610"/>
      <c r="W7" s="595">
        <f ca="1">LARGE($V$16:$V$56,5)</f>
        <v>10.000063624368604</v>
      </c>
      <c r="X7" s="596" t="str">
        <f t="shared" ca="1" si="2"/>
        <v>25 %</v>
      </c>
      <c r="Z7" s="606">
        <v>5</v>
      </c>
      <c r="AA7" s="178" t="str">
        <f>IF(B20="","",VLOOKUP(5,A16:B81,2,FALSE))</f>
        <v>Nicolas Jérémy</v>
      </c>
      <c r="AB7" s="702" t="str">
        <f t="shared" si="0"/>
        <v/>
      </c>
      <c r="AC7" s="598"/>
      <c r="AD7" s="175" t="str">
        <f>IF(F15="","",VLOOKUP(AE7,Q16:S84,3,FALSE))</f>
        <v>Le Garnec Sacha</v>
      </c>
      <c r="AE7" s="181">
        <f>LARGE(Q16:Q84,5)</f>
        <v>94.985000000000014</v>
      </c>
      <c r="AF7" s="599" t="str">
        <f t="shared" ca="1" si="1"/>
        <v>8 à 9</v>
      </c>
      <c r="AG7" s="581"/>
      <c r="AH7" s="175" t="str">
        <f t="shared" ca="1" si="3"/>
        <v>Flégeau Matthieu</v>
      </c>
      <c r="AI7" s="176">
        <f ca="1">LARGE(R:R,5)</f>
        <v>0.78434671616931706</v>
      </c>
      <c r="AL7" s="58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11"/>
      <c r="BS7" s="611"/>
      <c r="CC7" s="588"/>
      <c r="CD7" s="588"/>
      <c r="CE7" s="589"/>
      <c r="CF7" s="589"/>
      <c r="CG7" s="589"/>
      <c r="CH7" s="561"/>
      <c r="CI7" s="561">
        <v>6</v>
      </c>
      <c r="CJ7" s="590" t="s">
        <v>469</v>
      </c>
      <c r="CM7" s="156"/>
      <c r="CN7" s="156"/>
      <c r="CO7" s="156"/>
      <c r="CP7" s="156"/>
      <c r="CQ7" s="156"/>
      <c r="CR7" s="167"/>
      <c r="CS7" s="167"/>
      <c r="CT7" s="156"/>
      <c r="CU7" s="156"/>
      <c r="CY7" s="156"/>
    </row>
    <row r="8" spans="1:125" ht="18">
      <c r="B8" s="566"/>
      <c r="C8" s="565"/>
      <c r="E8" s="567"/>
      <c r="F8" s="568"/>
      <c r="G8" s="568"/>
      <c r="H8" s="569"/>
      <c r="I8" s="570"/>
      <c r="J8" s="569"/>
      <c r="K8" s="569"/>
      <c r="L8" s="569"/>
      <c r="M8" s="570"/>
      <c r="N8" s="569"/>
      <c r="O8" s="569"/>
      <c r="P8" s="571"/>
      <c r="Q8" s="571"/>
      <c r="R8" s="612"/>
      <c r="T8" s="613" t="s">
        <v>470</v>
      </c>
      <c r="U8" s="614"/>
      <c r="V8" s="614"/>
      <c r="W8" s="615"/>
      <c r="X8" s="596"/>
      <c r="Z8" s="606">
        <v>6</v>
      </c>
      <c r="AA8" s="178" t="str">
        <f>IF(B21="","",VLOOKUP(6,A16:B81,2,FALSE))</f>
        <v>Roszak Clément</v>
      </c>
      <c r="AB8" s="702" t="str">
        <f t="shared" si="0"/>
        <v/>
      </c>
      <c r="AC8" s="598"/>
      <c r="AD8" s="175" t="str">
        <f>IF(F15="","",VLOOKUP(AE8,Q16:S84,3,FALSE))</f>
        <v>Le Cam Alan</v>
      </c>
      <c r="AE8" s="181">
        <f>LARGE(Q16:Q84,6)</f>
        <v>88.948999999999955</v>
      </c>
      <c r="AF8" s="599" t="str">
        <f t="shared" ca="1" si="1"/>
        <v>5 à 6</v>
      </c>
      <c r="AG8" s="581"/>
      <c r="AH8" s="175" t="str">
        <f t="shared" ca="1" si="3"/>
        <v>Hilton Franck</v>
      </c>
      <c r="AI8" s="176">
        <f ca="1">LARGE(R:R,6)</f>
        <v>0.77027760658521327</v>
      </c>
      <c r="AL8" s="581"/>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CC8" s="588"/>
      <c r="CD8" s="588"/>
      <c r="CE8" s="589"/>
      <c r="CF8" s="589"/>
      <c r="CG8" s="589"/>
      <c r="CH8" s="561"/>
      <c r="CI8" s="561">
        <v>7</v>
      </c>
      <c r="CJ8" s="590" t="s">
        <v>471</v>
      </c>
      <c r="CM8" s="156"/>
      <c r="CN8" s="156"/>
      <c r="CO8" s="156"/>
      <c r="CP8" s="156"/>
      <c r="CQ8" s="156"/>
      <c r="CR8" s="167"/>
      <c r="CS8" s="167"/>
      <c r="CT8" s="156"/>
      <c r="CU8" s="156"/>
      <c r="CY8" s="156"/>
    </row>
    <row r="9" spans="1:125" ht="18">
      <c r="B9" s="566"/>
      <c r="C9" s="565"/>
      <c r="E9" s="567"/>
      <c r="F9" s="568"/>
      <c r="G9" s="568"/>
      <c r="H9" s="569"/>
      <c r="I9" s="570"/>
      <c r="J9" s="569"/>
      <c r="K9" s="569"/>
      <c r="L9" s="569"/>
      <c r="M9" s="570"/>
      <c r="N9" s="569"/>
      <c r="O9" s="569"/>
      <c r="P9" s="571"/>
      <c r="Q9" s="571"/>
      <c r="R9" s="612"/>
      <c r="T9" s="592" t="str">
        <f ca="1">VLOOKUP(W9,$W$16:$AL$56,16,FALSE)</f>
        <v>Morin Emmanuel</v>
      </c>
      <c r="U9" s="593"/>
      <c r="V9" s="594"/>
      <c r="W9" s="595">
        <f ca="1">LARGE($W$16:$W$56,1)</f>
        <v>14.000044850336652</v>
      </c>
      <c r="X9" s="596" t="str">
        <f t="shared" ca="1" si="2"/>
        <v>26 %</v>
      </c>
      <c r="Z9" s="606">
        <v>7</v>
      </c>
      <c r="AA9" s="178" t="str">
        <f>IF(B22="","",VLOOKUP(7,A16:B81,2,FALSE))</f>
        <v>Trin Kilian</v>
      </c>
      <c r="AB9" s="702" t="str">
        <f t="shared" si="0"/>
        <v/>
      </c>
      <c r="AC9" s="598"/>
      <c r="AD9" s="175" t="str">
        <f>IF(F15="","",VLOOKUP(AE9,Q16:S84,3,FALSE))</f>
        <v>Lorho Mathieu</v>
      </c>
      <c r="AE9" s="181">
        <f>LARGE(Q16:Q84,7)</f>
        <v>65.975000000000023</v>
      </c>
      <c r="AF9" s="599" t="str">
        <f t="shared" ca="1" si="1"/>
        <v/>
      </c>
      <c r="AG9" s="581"/>
      <c r="AH9" s="175" t="str">
        <f t="shared" ca="1" si="3"/>
        <v>Dayot Franck</v>
      </c>
      <c r="AI9" s="176">
        <f ca="1">LARGE(R:R,7)</f>
        <v>0.76931543771973787</v>
      </c>
      <c r="AL9" s="581"/>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CC9" s="588"/>
      <c r="CD9" s="588"/>
      <c r="CE9" s="589"/>
      <c r="CF9" s="589"/>
      <c r="CG9" s="589"/>
      <c r="CH9" s="561"/>
      <c r="CI9" s="561">
        <v>8</v>
      </c>
      <c r="CJ9" s="590" t="s">
        <v>472</v>
      </c>
      <c r="CM9" s="616" t="str">
        <f>IF(CM11="","",IF(LEFT(CM11,3)="Le ",RIGHT(CM11,LEN(CM11)-SEARCH(" ",CM11,4))&amp;" L.",RIGHT(CM11,LEN(CM11)-SEARCH(" ",CM11,1))&amp;" "&amp;LEFT(LEFT(CM11,1),SEARCH(" ",CM11,1))&amp;"."))</f>
        <v>Quentin M.</v>
      </c>
      <c r="CN9" s="616" t="str">
        <f>IF(CN11="","",IF(LEFT(CN11,3)="Le ",RIGHT(CN11,LEN(CN11)-SEARCH(" ",CN11,4))&amp;" L.",RIGHT(CN11,LEN(CN11)-SEARCH(" ",CN11,1))&amp;" "&amp;LEFT(LEFT(CN11,1),SEARCH(" ",CN11,1))&amp;"."))</f>
        <v>Franck H.</v>
      </c>
      <c r="CO9" s="616" t="str">
        <f t="shared" ref="CO9:CU9" si="4">IF(CO11="","",IF(LEFT(CO11,3)="Le ",RIGHT(CO11,LEN(CO11)-SEARCH(" ",CO11,4))&amp;" L.",RIGHT(CO11,LEN(CO11)-SEARCH(" ",CO11,1))&amp;" "&amp;LEFT(LEFT(CO11,1),SEARCH(" ",CO11,1))&amp;"."))</f>
        <v>Franck H.</v>
      </c>
      <c r="CP9" s="616" t="str">
        <f t="shared" si="4"/>
        <v>Franck H.</v>
      </c>
      <c r="CQ9" s="616" t="str">
        <f t="shared" si="4"/>
        <v>Quentin Z.</v>
      </c>
      <c r="CR9" s="616" t="str">
        <f t="shared" si="4"/>
        <v>Quentin Z.</v>
      </c>
      <c r="CS9" s="616" t="str">
        <f t="shared" si="4"/>
        <v>Léa M.</v>
      </c>
      <c r="CT9" s="616" t="str">
        <f t="shared" si="4"/>
        <v>Franck H.</v>
      </c>
      <c r="CU9" s="616" t="str">
        <f t="shared" si="4"/>
        <v>Quentin M.</v>
      </c>
      <c r="CY9" s="156"/>
    </row>
    <row r="10" spans="1:125" ht="18">
      <c r="A10"/>
      <c r="B10" s="617"/>
      <c r="C10" s="618"/>
      <c r="D10" s="619"/>
      <c r="E10" s="620"/>
      <c r="F10" s="621"/>
      <c r="G10" s="621"/>
      <c r="H10" s="622"/>
      <c r="I10" s="623"/>
      <c r="J10" s="569"/>
      <c r="K10" s="569"/>
      <c r="L10" s="569"/>
      <c r="M10" s="570"/>
      <c r="N10" s="569"/>
      <c r="O10" s="569"/>
      <c r="P10" s="571"/>
      <c r="Q10" s="571"/>
      <c r="R10" s="612"/>
      <c r="T10" s="601" t="str">
        <f ca="1">VLOOKUP(W10,$W$16:$AL$56,16,FALSE)</f>
        <v>Baudais Luc</v>
      </c>
      <c r="U10" s="602"/>
      <c r="V10" s="603"/>
      <c r="W10" s="595">
        <f ca="1">LARGE($W$16:$W$56,2)</f>
        <v>11.000091980839935</v>
      </c>
      <c r="X10" s="596" t="str">
        <f t="shared" ca="1" si="2"/>
        <v>22 %</v>
      </c>
      <c r="Z10" s="606">
        <v>8</v>
      </c>
      <c r="AA10" s="178" t="str">
        <f>IF(B23="","",VLOOKUP(8,A16:B81,2,FALSE))</f>
        <v>Faulkner Thierry</v>
      </c>
      <c r="AB10" s="702" t="str">
        <f t="shared" si="0"/>
        <v/>
      </c>
      <c r="AC10" s="598"/>
      <c r="AD10" s="175" t="str">
        <f>IF(F15="","",VLOOKUP(AE10,Q16:S84,3,FALSE))</f>
        <v>Cojean Youen</v>
      </c>
      <c r="AE10" s="181">
        <f>LARGE(Q16:Q84,8)</f>
        <v>55.829999999999927</v>
      </c>
      <c r="AF10" s="599" t="str">
        <f t="shared" ca="1" si="1"/>
        <v/>
      </c>
      <c r="AG10" s="581"/>
      <c r="AH10" s="175" t="str">
        <f t="shared" ca="1" si="3"/>
        <v>Touche Rémy</v>
      </c>
      <c r="AI10" s="176">
        <f ca="1">LARGE(R:R,8)</f>
        <v>0.76745938767799537</v>
      </c>
      <c r="AL10" s="581"/>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CC10" s="588"/>
      <c r="CD10" s="588"/>
      <c r="CE10" s="589"/>
      <c r="CF10" s="589"/>
      <c r="CG10" s="589"/>
      <c r="CH10" s="561"/>
      <c r="CI10" s="561">
        <v>9</v>
      </c>
      <c r="CJ10" s="590" t="s">
        <v>21</v>
      </c>
      <c r="CM10" s="624">
        <f t="shared" ref="CM10:CU10" si="5">ROUND(CM12,0)</f>
        <v>21</v>
      </c>
      <c r="CN10" s="624">
        <f t="shared" si="5"/>
        <v>99</v>
      </c>
      <c r="CO10" s="624">
        <f t="shared" si="5"/>
        <v>104</v>
      </c>
      <c r="CP10" s="624">
        <f t="shared" si="5"/>
        <v>33</v>
      </c>
      <c r="CQ10" s="624">
        <f t="shared" si="5"/>
        <v>46</v>
      </c>
      <c r="CR10" s="624">
        <f t="shared" si="5"/>
        <v>36</v>
      </c>
      <c r="CS10" s="624">
        <f t="shared" si="5"/>
        <v>91</v>
      </c>
      <c r="CT10" s="624">
        <f t="shared" si="5"/>
        <v>62</v>
      </c>
      <c r="CU10" s="624">
        <f t="shared" si="5"/>
        <v>29</v>
      </c>
      <c r="CY10" s="156"/>
    </row>
    <row r="11" spans="1:125" ht="18">
      <c r="B11" s="617"/>
      <c r="C11" s="618"/>
      <c r="D11" s="619"/>
      <c r="E11" s="625"/>
      <c r="F11" s="626"/>
      <c r="G11" s="626"/>
      <c r="H11" s="622"/>
      <c r="I11" s="623"/>
      <c r="J11" s="569"/>
      <c r="K11" s="569"/>
      <c r="L11" s="569"/>
      <c r="M11" s="570"/>
      <c r="N11" s="569"/>
      <c r="O11" s="569"/>
      <c r="P11" s="571"/>
      <c r="Q11" s="571"/>
      <c r="R11" s="612"/>
      <c r="T11" s="608" t="str">
        <f ca="1">VLOOKUP(W11,$W$16:$AL$56,16,FALSE)</f>
        <v>Sail Rémy</v>
      </c>
      <c r="U11" s="609"/>
      <c r="V11" s="610"/>
      <c r="W11" s="627">
        <f ca="1">LARGE($W$16:$W$56,3)</f>
        <v>11.00006261161354</v>
      </c>
      <c r="X11" s="596" t="str">
        <f t="shared" ca="1" si="2"/>
        <v>15 %</v>
      </c>
      <c r="Z11" s="606">
        <v>9</v>
      </c>
      <c r="AA11" s="178" t="str">
        <f>IF(B24="","",VLOOKUP(9,A16:B81,2,FALSE))</f>
        <v>Hilton Franck</v>
      </c>
      <c r="AB11" s="702" t="str">
        <f t="shared" si="0"/>
        <v>+ 9</v>
      </c>
      <c r="AC11" s="598"/>
      <c r="AD11" s="175" t="str">
        <f>IF(F15="","",VLOOKUP(AE11,Q16:S84,3,FALSE))</f>
        <v>Sail Rémy</v>
      </c>
      <c r="AE11" s="181">
        <f>LARGE(Q16:Q84,9)</f>
        <v>53.985000000000014</v>
      </c>
      <c r="AF11" s="599" t="str">
        <f t="shared" ca="1" si="1"/>
        <v>6 à 7</v>
      </c>
      <c r="AG11" s="581"/>
      <c r="AH11" s="175" t="str">
        <f t="shared" ca="1" si="3"/>
        <v>Sail Rémy</v>
      </c>
      <c r="AI11" s="176">
        <f ca="1">LARGE(R:R,9)</f>
        <v>0.7671927523737232</v>
      </c>
      <c r="AL11" s="581"/>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CC11" s="588"/>
      <c r="CD11" s="588"/>
      <c r="CE11" s="589"/>
      <c r="CF11" s="589"/>
      <c r="CG11" s="589"/>
      <c r="CH11" s="561"/>
      <c r="CI11" s="561">
        <v>10</v>
      </c>
      <c r="CJ11" s="590" t="s">
        <v>132</v>
      </c>
      <c r="CM11" s="156" t="str">
        <f>IF(CM12=0,"",VLOOKUP(CM12,CM16:DG84,21,FALSE))</f>
        <v>Morin Quentin</v>
      </c>
      <c r="CN11" s="156" t="str">
        <f>IF(CN12=0,"",VLOOKUP(CN12,CN16:DG84,20,FALSE))</f>
        <v>Hilton Franck</v>
      </c>
      <c r="CO11" s="156" t="str">
        <f>IF(CO12=0,"",VLOOKUP(CO12,CO16:DG84,19,FALSE))</f>
        <v>Hilton Franck</v>
      </c>
      <c r="CP11" s="156" t="str">
        <f>IF(CP12=0,"",VLOOKUP(CP12,CP16:DG84,18,FALSE))</f>
        <v>Hilton Franck</v>
      </c>
      <c r="CQ11" s="156" t="str">
        <f>IF(CQ12=0,"",VLOOKUP(CQ12,CQ16:DG84,17,FALSE))</f>
        <v>Zaragoza Quentin</v>
      </c>
      <c r="CR11" s="156" t="str">
        <f>IF(CR12=0,"",VLOOKUP(CR12,CR16:DG84,16,FALSE))</f>
        <v>Zaragoza Quentin</v>
      </c>
      <c r="CS11" s="156" t="str">
        <f>IF(CS12=0,"",VLOOKUP(CS12,CS16:DG84,15,FALSE))</f>
        <v>Morin Léa</v>
      </c>
      <c r="CT11" s="156" t="str">
        <f>IF(CT12=0,"",VLOOKUP(CT12,CT16:DG84,14,FALSE))</f>
        <v>Hilton Franck</v>
      </c>
      <c r="CU11" s="156" t="str">
        <f>IF(CU12=0,"",VLOOKUP(CU12,CU16:DG84,13,FALSE))</f>
        <v>Morin Quentin</v>
      </c>
      <c r="CY11" s="156"/>
    </row>
    <row r="12" spans="1:125" ht="20.25">
      <c r="B12" s="617">
        <f ca="1">IF(OR(MONTH(TODAY())=8,MONTH(TODAY())=9,MONTH(TODAY())=9),0,SUM(Q16:Q84))</f>
        <v>981.23980000000006</v>
      </c>
      <c r="C12" s="618" t="str">
        <f ca="1">IF(OR(MONTH(TODAY())=8,MONTH(TODAY())=9,MONTH(TODAY())=9),"",IF(B12&gt;0," points gagnés sur l'année"," points sur l'année"))</f>
        <v xml:space="preserve"> points gagnés sur l'année</v>
      </c>
      <c r="D12" s="619"/>
      <c r="E12" s="628"/>
      <c r="F12" s="626"/>
      <c r="G12" s="626"/>
      <c r="H12" s="622"/>
      <c r="I12" s="623"/>
      <c r="J12" s="569"/>
      <c r="K12" s="569"/>
      <c r="L12" s="569"/>
      <c r="M12" s="570"/>
      <c r="N12" s="569"/>
      <c r="O12" s="569"/>
      <c r="Q12" s="630"/>
      <c r="R12" s="572" t="s">
        <v>473</v>
      </c>
      <c r="Z12" s="606">
        <v>10</v>
      </c>
      <c r="AA12" s="963" t="str">
        <f>IF(B25="","",VLOOKUP(10,A16:B81,2,FALSE))</f>
        <v>Zaragoza José</v>
      </c>
      <c r="AB12" s="965" t="str">
        <f t="shared" si="0"/>
        <v/>
      </c>
      <c r="AC12" s="598"/>
      <c r="AD12" s="175" t="str">
        <f>IF(F15="","",VLOOKUP(AE12,Q16:S84,3,FALSE))</f>
        <v>Mierzwa Julien</v>
      </c>
      <c r="AE12" s="181">
        <f>LARGE(Q16:Q84,10)</f>
        <v>37.024999999999977</v>
      </c>
      <c r="AF12" s="599" t="str">
        <f t="shared" ca="1" si="1"/>
        <v>7 à 8</v>
      </c>
      <c r="AG12" s="581"/>
      <c r="AH12" s="175" t="str">
        <f t="shared" ca="1" si="3"/>
        <v>Beyl Yann</v>
      </c>
      <c r="AI12" s="176">
        <f ca="1">LARGE(R:R,10)</f>
        <v>0.73334133639074639</v>
      </c>
      <c r="AL12" s="581"/>
      <c r="AM12" s="632" t="s">
        <v>474</v>
      </c>
      <c r="AN12" s="632"/>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156"/>
      <c r="CC12" s="588"/>
      <c r="CD12" s="588"/>
      <c r="CE12" s="589"/>
      <c r="CF12" s="589"/>
      <c r="CG12" s="589"/>
      <c r="CH12" s="561"/>
      <c r="CI12" s="561">
        <v>11</v>
      </c>
      <c r="CJ12" s="590" t="s">
        <v>133</v>
      </c>
      <c r="CM12" s="624">
        <f>MAX(CM16:CM85)</f>
        <v>20.977999999999952</v>
      </c>
      <c r="CN12" s="624">
        <f t="shared" ref="CN12:CU12" si="6">MAX(CN16:CN85)</f>
        <v>99</v>
      </c>
      <c r="CO12" s="624">
        <f t="shared" si="6"/>
        <v>104</v>
      </c>
      <c r="CP12" s="624">
        <f t="shared" si="6"/>
        <v>33</v>
      </c>
      <c r="CQ12" s="624">
        <f t="shared" si="6"/>
        <v>46</v>
      </c>
      <c r="CR12" s="624">
        <f t="shared" si="6"/>
        <v>36</v>
      </c>
      <c r="CS12" s="624">
        <f t="shared" si="6"/>
        <v>91</v>
      </c>
      <c r="CT12" s="624">
        <f t="shared" si="6"/>
        <v>62</v>
      </c>
      <c r="CU12" s="624">
        <f t="shared" si="6"/>
        <v>29</v>
      </c>
      <c r="CV12" s="156"/>
    </row>
    <row r="13" spans="1:125" s="554" customFormat="1" ht="15.75" customHeight="1">
      <c r="A13" s="634"/>
      <c r="E13" s="183" t="s">
        <v>475</v>
      </c>
      <c r="Y13" s="635"/>
      <c r="Z13" s="731"/>
      <c r="AA13" s="637" t="str">
        <f>ROUND((VLOOKUP(AA3,[10]liste!$B$2:$M$100,12,FALSE)+VLOOKUP(AA4,[10]liste!$B$2:$M$100,12,FALSE)+VLOOKUP(AA5,[10]liste!$B$2:$M$100,12,FALSE)+VLOOKUP(AA6,[10]liste!$B$2:$M$100,12,FALSE)+VLOOKUP(AA7,[10]liste!$B$2:$M$100,12,FALSE)+VLOOKUP(AA8,[10]liste!$B$2:$M$100,12,FALSE)+VLOOKUP(AA9,[10]liste!$B$2:$M$100,12,FALSE)+VLOOKUP(AA10,[10]liste!$B$2:$M$100,12,FALSE)+VLOOKUP(AA11,[10]liste!$B$2:$M$100,12,FALSE)+VLOOKUP(AA12,[10]liste!$B$2:$M$100,12,FALSE))/10,0)&amp;" ans et  "&amp;ROUND((VLOOKUP(1,$A$16:$CX$101,102,FALSE)+VLOOKUP(2,$A$16:$CX$101,102,FALSE)+VLOOKUP(3,$A$16:$CX$101,102,FALSE)+VLOOKUP(4,$A$16:$CX$101,102,FALSE)+VLOOKUP(5,$A$16:$CX$101,102,FALSE)+VLOOKUP(6,$A$16:$CX$101,102,FALSE)+VLOOKUP(7,$A$16:$CX$101,102,FALSE)+VLOOKUP(8,$A$16:$CX$101,102,FALSE)+VLOOKUP(9,$A$16:$CX$101,102,FALSE)+VLOOKUP(10,$A$16:$CX$101,102,FALSE))/10,0)&amp;" points de moyenne"</f>
        <v>31 ans et  1525 points de moyenne</v>
      </c>
      <c r="AB13" s="964"/>
      <c r="AC13" s="638"/>
      <c r="AD13" s="637" t="str">
        <f>ROUND((VLOOKUP(AD3,[10]liste!$B$2:$M$100,12,FALSE)+VLOOKUP(AD4,[10]liste!$B$2:$M$100,12,FALSE)+VLOOKUP(AD5,[10]liste!$B$2:$M$100,12,FALSE)+VLOOKUP(AD6,[10]liste!$B$2:$M$100,12,FALSE)+VLOOKUP(AD7,[10]liste!$B$2:$M$100,12,FALSE)+VLOOKUP(AD8,[10]liste!$B$2:$M$100,12,FALSE)+VLOOKUP(AD9,[10]liste!$B$2:$M$100,12,FALSE)+VLOOKUP(AD10,[10]liste!$B$2:$M$100,12,FALSE)+VLOOKUP(AD11,[10]liste!$B$2:$M$100,12,FALSE)+VLOOKUP(AD12,[10]liste!$B$2:$M$100,12,FALSE))/10,0)&amp;" ans de moyenne"</f>
        <v>18 ans de moyenne</v>
      </c>
      <c r="AE13" s="638"/>
      <c r="AF13" s="638"/>
      <c r="AG13" s="638"/>
      <c r="AH13" s="637" t="str">
        <f ca="1">ROUND((VLOOKUP(AH3,[10]liste!$B$2:$M$100,12,FALSE)+VLOOKUP(AH4,[10]liste!$B$2:$M$100,12,FALSE)+VLOOKUP(AH5,[10]liste!$B$2:$M$100,12,FALSE)+VLOOKUP(AH6,[10]liste!$B$2:$M$100,12,FALSE)+VLOOKUP(AH7,[10]liste!$B$2:$M$100,12,FALSE)+VLOOKUP(AH8,[10]liste!$B$2:$M$100,12,FALSE)+VLOOKUP(AH9,[10]liste!$B$2:$M$100,12,FALSE)+VLOOKUP(AH10,[10]liste!$B$2:$M$100,12,FALSE)+VLOOKUP(AH11,[10]liste!$B$2:$M$100,12,FALSE)+VLOOKUP(AH12,[10]liste!$B$2:$M$100,12,FALSE))/10,0)&amp;" ans de moyenne"</f>
        <v>35 ans de moyenne</v>
      </c>
      <c r="AI13" s="639"/>
      <c r="AK13" s="581"/>
      <c r="AL13" s="581"/>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561"/>
      <c r="BU13" s="561"/>
      <c r="BV13" s="561"/>
      <c r="BW13" s="561"/>
      <c r="BX13" s="640"/>
      <c r="BY13" s="640"/>
      <c r="BZ13" s="640"/>
      <c r="CA13" s="640"/>
      <c r="CB13" s="640"/>
      <c r="CC13" s="588"/>
      <c r="CD13" s="588"/>
      <c r="CE13" s="589"/>
      <c r="CF13" s="589"/>
      <c r="CG13" s="589"/>
      <c r="CH13" s="561"/>
      <c r="CI13" s="561">
        <v>12</v>
      </c>
      <c r="CJ13" s="590" t="s">
        <v>134</v>
      </c>
      <c r="CR13" s="556"/>
      <c r="CS13" s="556"/>
      <c r="CW13" s="635"/>
      <c r="CX13" s="635"/>
      <c r="CY13" s="635"/>
      <c r="CZ13" s="635"/>
      <c r="DA13" s="635"/>
      <c r="DB13" s="635"/>
      <c r="DC13" s="635"/>
      <c r="DD13" s="635"/>
      <c r="DE13" s="635"/>
      <c r="DF13" s="635"/>
      <c r="DI13" s="641"/>
      <c r="DJ13" s="635"/>
      <c r="DK13" s="635"/>
      <c r="DL13" s="635"/>
      <c r="DM13" s="635"/>
      <c r="DN13" s="635"/>
      <c r="DO13" s="635"/>
      <c r="DP13" s="635"/>
    </row>
    <row r="14" spans="1:125" s="554" customFormat="1" ht="15.75" customHeight="1" thickBot="1">
      <c r="A14" s="642"/>
      <c r="B14" s="643" t="s">
        <v>476</v>
      </c>
      <c r="C14" s="644">
        <f>ROUND(E14/100,0)</f>
        <v>9</v>
      </c>
      <c r="D14" s="645">
        <f>ROUND(SUM(CX16:CX84)/(100*MAX($A$16:$A$101)),0)</f>
        <v>9</v>
      </c>
      <c r="E14" s="646">
        <f t="shared" ref="E14:Q14" si="7">ROUND(SUM(E16:E84)/MAX($A$16:$A$101),0)</f>
        <v>927</v>
      </c>
      <c r="F14" s="647">
        <f t="shared" si="7"/>
        <v>928</v>
      </c>
      <c r="G14" s="647">
        <f t="shared" si="7"/>
        <v>931</v>
      </c>
      <c r="H14" s="647">
        <f t="shared" si="7"/>
        <v>938</v>
      </c>
      <c r="I14" s="646">
        <f t="shared" si="7"/>
        <v>935</v>
      </c>
      <c r="J14" s="647">
        <f t="shared" si="7"/>
        <v>941</v>
      </c>
      <c r="K14" s="647">
        <f t="shared" si="7"/>
        <v>944</v>
      </c>
      <c r="L14" s="647">
        <f t="shared" si="7"/>
        <v>947</v>
      </c>
      <c r="M14" s="646">
        <f t="shared" si="7"/>
        <v>950</v>
      </c>
      <c r="N14" s="648">
        <f t="shared" si="7"/>
        <v>950</v>
      </c>
      <c r="O14" s="648">
        <f t="shared" si="7"/>
        <v>0</v>
      </c>
      <c r="P14" s="649">
        <f t="shared" ca="1" si="7"/>
        <v>0</v>
      </c>
      <c r="Q14" s="650">
        <f t="shared" si="7"/>
        <v>23</v>
      </c>
      <c r="R14" s="651" t="str">
        <f ca="1">ROUND(T14*100/U14,0)&amp;"%"</f>
        <v>56%</v>
      </c>
      <c r="S14" s="652">
        <f t="shared" ref="S14:X14" si="8">ROUND(SUM(S16:S84)/MAX($A$16:$A$101),0)</f>
        <v>0</v>
      </c>
      <c r="T14" s="653">
        <f t="shared" ca="1" si="8"/>
        <v>23</v>
      </c>
      <c r="U14" s="653">
        <f t="shared" ca="1" si="8"/>
        <v>41</v>
      </c>
      <c r="V14" s="654">
        <f t="shared" ca="1" si="8"/>
        <v>4</v>
      </c>
      <c r="W14" s="655">
        <f t="shared" ca="1" si="8"/>
        <v>4</v>
      </c>
      <c r="X14" s="656">
        <f t="shared" si="8"/>
        <v>893</v>
      </c>
      <c r="Y14" s="635"/>
      <c r="Z14" s="636"/>
      <c r="AA14" s="637"/>
      <c r="AB14" s="638"/>
      <c r="AC14" s="638"/>
      <c r="AD14" s="637"/>
      <c r="AE14" s="638"/>
      <c r="AF14" s="638"/>
      <c r="AG14" s="638"/>
      <c r="AH14" s="637"/>
      <c r="AI14" s="639"/>
      <c r="AJ14" s="581"/>
      <c r="AK14" s="581"/>
      <c r="AL14" s="581"/>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561"/>
      <c r="BU14" s="561"/>
      <c r="BV14" s="561"/>
      <c r="BW14" s="561"/>
      <c r="BX14" s="640"/>
      <c r="BY14" s="640"/>
      <c r="BZ14" s="640"/>
      <c r="CA14" s="640"/>
      <c r="CB14" s="640"/>
      <c r="CC14" s="588"/>
      <c r="CD14" s="588"/>
      <c r="CE14" s="589"/>
      <c r="CF14" s="589"/>
      <c r="CG14" s="589"/>
      <c r="CH14" s="561"/>
      <c r="CI14" s="561"/>
      <c r="CJ14" s="590"/>
      <c r="CR14" s="556"/>
      <c r="CS14" s="556"/>
      <c r="CW14" s="635"/>
      <c r="CX14" s="635"/>
      <c r="CY14" s="635"/>
      <c r="CZ14" s="635"/>
      <c r="DA14" s="635"/>
      <c r="DB14" s="635"/>
      <c r="DC14" s="635"/>
      <c r="DD14" s="635"/>
      <c r="DE14" s="635"/>
      <c r="DF14" s="635"/>
      <c r="DI14" s="641"/>
      <c r="DJ14" s="635"/>
      <c r="DK14" s="635"/>
      <c r="DL14" s="635"/>
      <c r="DM14" s="635"/>
      <c r="DN14" s="635"/>
      <c r="DO14" s="635"/>
      <c r="DP14" s="635"/>
    </row>
    <row r="15" spans="1:125" s="591" customFormat="1" ht="84.75" customHeight="1" thickBot="1">
      <c r="A15" s="657" t="s">
        <v>18</v>
      </c>
      <c r="B15" s="658" t="str">
        <f>COUNT(A16:A70)&amp;" Joueurs lien FFTT"</f>
        <v>42 Joueurs lien FFTT</v>
      </c>
      <c r="C15" s="659" t="s">
        <v>19</v>
      </c>
      <c r="D15" s="660" t="s">
        <v>20</v>
      </c>
      <c r="E15" s="661" t="s">
        <v>21</v>
      </c>
      <c r="F15" s="662" t="s">
        <v>132</v>
      </c>
      <c r="G15" s="662" t="str">
        <f>IF(G16=0,"","novembre")</f>
        <v>novembre</v>
      </c>
      <c r="H15" s="662" t="str">
        <f>IF(H16=0,"","décembre")</f>
        <v>décembre</v>
      </c>
      <c r="I15" s="661" t="str">
        <f>IF(I16=0,"","janvier")</f>
        <v>janvier</v>
      </c>
      <c r="J15" s="662" t="str">
        <f>IF(J16=0,"","février")</f>
        <v>février</v>
      </c>
      <c r="K15" s="662" t="str">
        <f>IF(K16=0,"","mars")</f>
        <v>mars</v>
      </c>
      <c r="L15" s="662" t="str">
        <f>IF(L16=0,"","avril")</f>
        <v>avril</v>
      </c>
      <c r="M15" s="661" t="str">
        <f>IF(M16=0,"","mai")</f>
        <v>mai</v>
      </c>
      <c r="N15" s="662" t="str">
        <f>IF(N16=0,"","juin")</f>
        <v>juin</v>
      </c>
      <c r="O15" s="662" t="str">
        <f>IF(O16=0,"","juin")</f>
        <v/>
      </c>
      <c r="P15" s="663" t="s">
        <v>477</v>
      </c>
      <c r="Q15" s="664" t="s">
        <v>22</v>
      </c>
      <c r="R15" s="665" t="s">
        <v>23</v>
      </c>
      <c r="S15" s="666"/>
      <c r="T15" s="667" t="s">
        <v>135</v>
      </c>
      <c r="U15" s="667" t="s">
        <v>136</v>
      </c>
      <c r="V15" s="668" t="s">
        <v>143</v>
      </c>
      <c r="W15" s="669" t="s">
        <v>144</v>
      </c>
      <c r="X15" s="670" t="s">
        <v>478</v>
      </c>
      <c r="Y15" s="671"/>
      <c r="Z15" s="672"/>
      <c r="AA15" s="673" t="s">
        <v>641</v>
      </c>
      <c r="AC15" s="554"/>
      <c r="AD15" s="674" t="s">
        <v>479</v>
      </c>
      <c r="AE15" s="300"/>
      <c r="AF15" s="675"/>
      <c r="AG15" s="554"/>
      <c r="AH15" s="674" t="s">
        <v>480</v>
      </c>
      <c r="AI15" s="676"/>
      <c r="AJ15" s="677"/>
      <c r="AK15" s="678" t="s">
        <v>10</v>
      </c>
      <c r="AL15" s="679" t="s">
        <v>481</v>
      </c>
      <c r="AM15" s="680">
        <v>5</v>
      </c>
      <c r="AN15" s="681"/>
      <c r="AO15" s="680">
        <v>6</v>
      </c>
      <c r="AP15" s="681"/>
      <c r="AQ15" s="680">
        <v>7</v>
      </c>
      <c r="AR15" s="681"/>
      <c r="AS15" s="680">
        <v>8</v>
      </c>
      <c r="AT15" s="681"/>
      <c r="AU15" s="680">
        <v>9</v>
      </c>
      <c r="AV15" s="681"/>
      <c r="AW15" s="680">
        <v>10</v>
      </c>
      <c r="AX15" s="681"/>
      <c r="AY15" s="680">
        <v>11</v>
      </c>
      <c r="AZ15" s="681"/>
      <c r="BA15" s="680">
        <v>12</v>
      </c>
      <c r="BB15" s="681"/>
      <c r="BC15" s="680">
        <v>13</v>
      </c>
      <c r="BD15" s="681"/>
      <c r="BE15" s="680">
        <v>14</v>
      </c>
      <c r="BF15" s="681"/>
      <c r="BG15" s="680">
        <v>15</v>
      </c>
      <c r="BH15" s="681"/>
      <c r="BI15" s="680">
        <v>16</v>
      </c>
      <c r="BJ15" s="681"/>
      <c r="BK15" s="680">
        <v>17</v>
      </c>
      <c r="BL15" s="681"/>
      <c r="BM15" s="680">
        <v>18</v>
      </c>
      <c r="BN15" s="681"/>
      <c r="BO15" s="680">
        <v>19</v>
      </c>
      <c r="BP15" s="681"/>
      <c r="BQ15" s="680">
        <v>20</v>
      </c>
      <c r="BR15" s="681"/>
      <c r="BS15" s="682" t="s">
        <v>482</v>
      </c>
      <c r="BT15" s="682" t="s">
        <v>483</v>
      </c>
      <c r="BU15" s="682" t="s">
        <v>484</v>
      </c>
      <c r="BV15" s="561"/>
      <c r="BW15" s="561"/>
      <c r="BX15"/>
      <c r="BY15" s="683" t="s">
        <v>485</v>
      </c>
      <c r="BZ15" s="683" t="s">
        <v>486</v>
      </c>
      <c r="CA15" s="683" t="s">
        <v>487</v>
      </c>
      <c r="CB15" s="683" t="s">
        <v>488</v>
      </c>
      <c r="CC15" s="683" t="s">
        <v>489</v>
      </c>
      <c r="CD15" s="683" t="s">
        <v>37</v>
      </c>
      <c r="CH15" s="561"/>
      <c r="CI15" s="561"/>
      <c r="CL15" s="684" t="s">
        <v>490</v>
      </c>
      <c r="CM15" s="684" t="s">
        <v>491</v>
      </c>
      <c r="CN15" s="684" t="s">
        <v>492</v>
      </c>
      <c r="CO15" s="684" t="s">
        <v>493</v>
      </c>
      <c r="CP15" s="684" t="s">
        <v>494</v>
      </c>
      <c r="CQ15" s="684" t="s">
        <v>495</v>
      </c>
      <c r="CR15" s="684" t="s">
        <v>496</v>
      </c>
      <c r="CS15" s="684" t="s">
        <v>497</v>
      </c>
      <c r="CT15" s="684" t="s">
        <v>294</v>
      </c>
      <c r="CU15" s="684" t="s">
        <v>498</v>
      </c>
      <c r="CV15" s="685" t="s">
        <v>499</v>
      </c>
      <c r="CW15" s="686" t="s">
        <v>500</v>
      </c>
      <c r="CX15" s="686" t="s">
        <v>501</v>
      </c>
      <c r="CY15" s="687" t="s">
        <v>502</v>
      </c>
      <c r="CZ15" s="687" t="s">
        <v>186</v>
      </c>
      <c r="DA15" s="687" t="s">
        <v>503</v>
      </c>
      <c r="DB15" s="686"/>
      <c r="DC15" s="688" t="s">
        <v>504</v>
      </c>
      <c r="DE15" s="689" t="s">
        <v>505</v>
      </c>
      <c r="DF15" s="690" t="s">
        <v>506</v>
      </c>
      <c r="DG15" s="666"/>
      <c r="DH15" s="666"/>
      <c r="DI15" s="666" t="s">
        <v>500</v>
      </c>
      <c r="DJ15" s="686"/>
      <c r="DK15" s="686" t="s">
        <v>507</v>
      </c>
      <c r="DL15" s="686" t="s">
        <v>508</v>
      </c>
      <c r="DM15" s="686"/>
      <c r="DN15" s="686"/>
      <c r="DO15" s="686"/>
      <c r="DP15" s="686" t="s">
        <v>502</v>
      </c>
      <c r="DQ15" s="690" t="s">
        <v>509</v>
      </c>
      <c r="DR15" s="690" t="s">
        <v>187</v>
      </c>
      <c r="DT15" s="690" t="s">
        <v>18</v>
      </c>
    </row>
    <row r="16" spans="1:125" s="591" customFormat="1" ht="23.1" customHeight="1">
      <c r="A16" s="308">
        <f t="shared" ref="A16:A79" si="9">IF(B16="","",RANK(CX16,CX:CX))</f>
        <v>1</v>
      </c>
      <c r="B16" s="297" t="str">
        <f>IF(E16=0,"",VLOOKUP(E16,[10]liste!AM:AN,2,FALSE))</f>
        <v>Brient Jean-François</v>
      </c>
      <c r="C16" s="298">
        <f>IF(E16=0,"",VLOOKUP(B16,[10]liste!AN:AP,3,FALSE))</f>
        <v>20</v>
      </c>
      <c r="D16" s="691">
        <f t="shared" ref="D16:D79" si="10">IF(CW16="","",CY16)</f>
        <v>20</v>
      </c>
      <c r="E16" s="692">
        <f>LARGE([10]liste!AM:AM,1)</f>
        <v>2056.056</v>
      </c>
      <c r="F16" s="693">
        <v>2056</v>
      </c>
      <c r="G16" s="693">
        <v>2069</v>
      </c>
      <c r="H16" s="693">
        <v>2074</v>
      </c>
      <c r="I16" s="692">
        <v>2066</v>
      </c>
      <c r="J16" s="693">
        <v>2066</v>
      </c>
      <c r="K16" s="693">
        <v>2070</v>
      </c>
      <c r="L16" s="693">
        <v>2074.1</v>
      </c>
      <c r="M16" s="692">
        <v>2094</v>
      </c>
      <c r="N16" s="692">
        <v>2091</v>
      </c>
      <c r="O16" s="694"/>
      <c r="P16" s="695">
        <f t="shared" ref="P16:P79" ca="1" si="11">IF(F16="",0,IF(AND(CV16="faux",CU16=""),CT16,IF(CV16="faux",CU16,CV16+RAND()*(0.1-0.01)+0.01)))</f>
        <v>-3</v>
      </c>
      <c r="Q16" s="170">
        <f t="shared" ref="Q16:Q79" si="12">SUM(CM16:CU16)</f>
        <v>34.94399999999996</v>
      </c>
      <c r="R16" s="696">
        <f ca="1">IF(U16&lt;MAX(U$16:U$81)/6.2,"NS",IF(B16="",0,VLOOKUP(B16,[10]résultats!AX:DH,63,FALSE)))</f>
        <v>0.89711551121408861</v>
      </c>
      <c r="S16" s="697" t="str">
        <f t="shared" ref="S16:S79" si="13">B16</f>
        <v>Brient Jean-François</v>
      </c>
      <c r="T16" s="171">
        <f t="shared" ref="T16:U59" ca="1" si="14">DQ16</f>
        <v>61</v>
      </c>
      <c r="U16" s="172">
        <f t="shared" ca="1" si="14"/>
        <v>68</v>
      </c>
      <c r="V16" s="698">
        <f ca="1">IF(B16="",0,HLOOKUP(B16&amp;"a",[11]Feuil1!$A$27:$FX$48,20,FALSE)+RAND()*0.0001)</f>
        <v>2.00006145920681</v>
      </c>
      <c r="W16" s="699">
        <f ca="1">IF(B16="",0,HLOOKUP(B16&amp;"a",[11]Feuil1!$A$27:$FX$48,21,FALSE))+RAND()*0.0001</f>
        <v>1.0000064977426699</v>
      </c>
      <c r="X16" s="700">
        <f>IF(AK16=0,"",ROUND(BU16*100+50,0))</f>
        <v>1628</v>
      </c>
      <c r="Y16" s="701">
        <f t="shared" ref="Y16:Y79" si="15">MAX(E16:O16)</f>
        <v>2094</v>
      </c>
      <c r="Z16" s="597">
        <f>'[10] joueur de l''année'!Z39</f>
        <v>1</v>
      </c>
      <c r="AA16" s="1148" t="str">
        <f ca="1">'[10] joueur de l''année'!AA39</f>
        <v>Morin</v>
      </c>
      <c r="AB16" s="1149">
        <f ca="1">'[10] joueur de l''année'!AC39</f>
        <v>41.861029095997161</v>
      </c>
      <c r="AC16" s="554"/>
      <c r="AD16" s="173" t="str">
        <f ca="1">'[10] joueur de l''année'!AA18</f>
        <v>Brient Jean-François</v>
      </c>
      <c r="AE16" s="301">
        <f ca="1">IF(AD16=0,"",VLOOKUP(AD16,'[10] joueur de l''année'!$A$3:$T$100,19,FALSE))</f>
        <v>52.321572198203562</v>
      </c>
      <c r="AF16" s="561"/>
      <c r="AH16" s="703" t="str">
        <f ca="1">[10]cal.Ph1!P1</f>
        <v>AG MTT</v>
      </c>
      <c r="AI16" s="704">
        <f ca="1">[10]cal.Ph1!O1</f>
        <v>42181.000000209788</v>
      </c>
      <c r="AJ16" s="677"/>
      <c r="AK16" s="677">
        <f>IF(AL16="",0,SUM(AM16:BR16))</f>
        <v>68</v>
      </c>
      <c r="AL16" s="705" t="str">
        <f t="shared" ref="AL16:AL57" si="16">B16</f>
        <v>Brient Jean-François</v>
      </c>
      <c r="AM16" s="706">
        <f>IF(OR(HLOOKUP($AL16&amp;"a",[11]Feuil1!$A$27:$EP$48,3,FALSE)=FALSE,HLOOKUP($AL16&amp;"a",[11]Feuil1!$A$27:$EP$48,3,FALSE)=""),0,HLOOKUP($AL16&amp;"a",[11]Feuil1!$A$27:$EP$48,3,FALSE))</f>
        <v>0</v>
      </c>
      <c r="AN16" s="706">
        <f>IF(HLOOKUP($AL16&amp;"aa",[11]Feuil1!$A$27:$EP$48,3,FALSE)=FALSE,0,HLOOKUP($AL16&amp;"aa",[11]Feuil1!$A$27:$EP$48,3,FALSE))</f>
        <v>0</v>
      </c>
      <c r="AO16" s="706">
        <f>IF(OR(HLOOKUP($AL16&amp;"a",[11]Feuil1!$A$27:$EP$48,4,FALSE)=FALSE,HLOOKUP($AL16&amp;"a",[11]Feuil1!$A$27:$EP$48,4,FALSE)=""),0,HLOOKUP($AL16&amp;"a",[11]Feuil1!$A$27:$EP$48,4,FALSE))</f>
        <v>1</v>
      </c>
      <c r="AP16" s="706">
        <f>IF(HLOOKUP($AL16&amp;"aa",[11]Feuil1!$A$27:$EP$48,4,FALSE)=FALSE,0,HLOOKUP($AL16&amp;"aa",[11]Feuil1!$A$27:$EP$48,4,FALSE))</f>
        <v>0</v>
      </c>
      <c r="AQ16" s="706">
        <f>IF(OR(HLOOKUP($AL16&amp;"a",[11]Feuil1!$A$27:$EP$48,5,FALSE)=FALSE,HLOOKUP($AL16&amp;"a",[11]Feuil1!$A$27:$EP$48,5,FALSE)=""),0,HLOOKUP($AL16&amp;"a",[11]Feuil1!$A$27:$EP$48,5,FALSE))</f>
        <v>0</v>
      </c>
      <c r="AR16" s="706">
        <f>IF(HLOOKUP($AL16&amp;"aa",[11]Feuil1!$A$27:$EP$48,5,FALSE)=FALSE,0,HLOOKUP($AL16&amp;"aa",[11]Feuil1!$A$27:$EP$48,5,FALSE))</f>
        <v>0</v>
      </c>
      <c r="AS16" s="706">
        <f>IF(OR(HLOOKUP($AL16&amp;"a",[11]Feuil1!$A$27:$EP$48,6,FALSE)=FALSE,HLOOKUP($AL16&amp;"a",[11]Feuil1!$A$27:$EP$48,6,FALSE)=""),0,HLOOKUP($AL16&amp;"a",[11]Feuil1!$A$27:$EP$48,6,FALSE))</f>
        <v>0</v>
      </c>
      <c r="AT16" s="706">
        <f>IF(HLOOKUP($AL16&amp;"aa",[11]Feuil1!$A$27:$EP$48,6,FALSE)=FALSE,0,HLOOKUP($AL16&amp;"aa",[11]Feuil1!$A$27:$EP$48,6,FALSE))</f>
        <v>0</v>
      </c>
      <c r="AU16" s="706">
        <f>IF(OR(HLOOKUP($AL16&amp;"a",[11]Feuil1!$A$27:$EP$48,7,FALSE)=FALSE,HLOOKUP($AL16&amp;"a",[11]Feuil1!$A$27:$EP$48,7,FALSE)=""),0,HLOOKUP($AL16&amp;"a",[11]Feuil1!$A$27:$EP$48,7,FALSE))</f>
        <v>0</v>
      </c>
      <c r="AV16" s="706">
        <f>IF(HLOOKUP($AL16&amp;"aa",[11]Feuil1!$A$27:$EP$48,7,FALSE)=FALSE,0,HLOOKUP($AL16&amp;"aa",[11]Feuil1!$A$27:$EP$48,7,FALSE))</f>
        <v>0</v>
      </c>
      <c r="AW16" s="706">
        <f>IF(OR(HLOOKUP($AL16&amp;"a",[11]Feuil1!$A$27:$EP$48,8,FALSE)=FALSE,HLOOKUP($AL16&amp;"a",[11]Feuil1!$A$27:$EP$48,8,FALSE)=""),0,HLOOKUP($AL16&amp;"a",[11]Feuil1!$A$27:$EP$48,8,FALSE))</f>
        <v>0</v>
      </c>
      <c r="AX16" s="706">
        <f>IF(HLOOKUP($AL16&amp;"aa",[11]Feuil1!$A$27:$EP$48,8,FALSE)=FALSE,0,HLOOKUP($AL16&amp;"aa",[11]Feuil1!$A$27:$EP$48,8,FALSE))</f>
        <v>0</v>
      </c>
      <c r="AY16" s="706">
        <f>IF(OR(HLOOKUP($AL16&amp;"a",[11]Feuil1!$A$27:$EP$48,9,FALSE)=FALSE,HLOOKUP($AL16&amp;"a",[11]Feuil1!$A$27:$EP$48,9,FALSE)=""),0,HLOOKUP($AL16&amp;"a",[11]Feuil1!$A$27:$EP$48,9,FALSE))</f>
        <v>4</v>
      </c>
      <c r="AZ16" s="706">
        <f>IF(HLOOKUP($AL16&amp;"aa",[11]Feuil1!$A$27:$EP$48,9,FALSE)=FALSE,0,HLOOKUP($AL16&amp;"aa",[11]Feuil1!$A$27:$EP$48,9,FALSE))</f>
        <v>0</v>
      </c>
      <c r="BA16" s="706">
        <f>IF(OR(HLOOKUP($AL16&amp;"a",[11]Feuil1!$A$27:$EP$48,10,FALSE)=FALSE,HLOOKUP($AL16&amp;"a",[11]Feuil1!$A$27:$EP$48,10,FALSE)=""),0,HLOOKUP($AL16&amp;"a",[11]Feuil1!$A$27:$EP$48,10,FALSE))</f>
        <v>3</v>
      </c>
      <c r="BB16" s="706">
        <f>IF(HLOOKUP($AL16&amp;"aa",[11]Feuil1!$A$27:$EP$48,10,FALSE)=FALSE,0,HLOOKUP($AL16&amp;"aa",[11]Feuil1!$A$27:$EP$48,10,FALSE))</f>
        <v>0</v>
      </c>
      <c r="BC16" s="706">
        <f>IF(OR(HLOOKUP($AL16&amp;"a",[11]Feuil1!$A$27:$EP$48,11,FALSE)=FALSE,HLOOKUP($AL16&amp;"a",[11]Feuil1!$A$27:$EP$48,11,FALSE)=""),0,HLOOKUP($AL16&amp;"a",[11]Feuil1!$A$27:$EP$48,11,FALSE))</f>
        <v>7</v>
      </c>
      <c r="BD16" s="706">
        <f>IF(HLOOKUP($AL16&amp;"aa",[11]Feuil1!$A$27:$EP$48,11,FALSE)=FALSE,0,HLOOKUP($AL16&amp;"aa",[11]Feuil1!$A$27:$EP$48,11,FALSE))</f>
        <v>0</v>
      </c>
      <c r="BE16" s="706">
        <f>IF(OR(HLOOKUP($AL16&amp;"a",[11]Feuil1!$A$27:$EP$48,12,FALSE)=FALSE,HLOOKUP($AL16&amp;"a",[11]Feuil1!$A$27:$EP$48,12,FALSE)=""),0,HLOOKUP($AL16&amp;"a",[11]Feuil1!$A$27:$EP$48,12,FALSE))</f>
        <v>8</v>
      </c>
      <c r="BF16" s="706">
        <f>IF(HLOOKUP($AL16&amp;"aa",[11]Feuil1!$A$27:$EP$48,12,FALSE)=FALSE,0,HLOOKUP($AL16&amp;"aa",[11]Feuil1!$A$27:$EP$48,12,FALSE))</f>
        <v>0</v>
      </c>
      <c r="BG16" s="706">
        <f>IF(OR(HLOOKUP($AL16&amp;"a",[11]Feuil1!$A$27:$EP$48,13,FALSE)=FALSE,HLOOKUP($AL16&amp;"a",[11]Feuil1!$A$27:$EP$48,13,FALSE)=""),0,HLOOKUP($AL16&amp;"a",[11]Feuil1!$A$27:$EP$48,13,FALSE))</f>
        <v>11</v>
      </c>
      <c r="BH16" s="706">
        <f>IF(HLOOKUP($AL16&amp;"aa",[11]Feuil1!$A$27:$EP$48,13,FALSE)=FALSE,0,HLOOKUP($AL16&amp;"aa",[11]Feuil1!$A$27:$EP$48,13,FALSE))</f>
        <v>0</v>
      </c>
      <c r="BI16" s="706">
        <f>IF(OR(HLOOKUP($AL16&amp;"a",[11]Feuil1!$A$27:$EP$48,14,FALSE)=FALSE,HLOOKUP($AL16&amp;"a",[11]Feuil1!$A$27:$EP$48,14,FALSE)=""),0,HLOOKUP($AL16&amp;"a",[11]Feuil1!$A$27:$EP$48,14,FALSE))</f>
        <v>6</v>
      </c>
      <c r="BJ16" s="706">
        <f>IF(HLOOKUP($AL16&amp;"aa",[11]Feuil1!$A$27:$EP$48,14,FALSE)=FALSE,0,HLOOKUP($AL16&amp;"aa",[11]Feuil1!$A$27:$EP$48,14,FALSE))</f>
        <v>0</v>
      </c>
      <c r="BK16" s="706">
        <f>IF(OR(HLOOKUP($AL16&amp;"a",[11]Feuil1!$A$27:$EP$48,15,FALSE)=FALSE,HLOOKUP($AL16&amp;"a",[11]Feuil1!$A$27:$EP$48,15,FALSE)=""),0,HLOOKUP($AL16&amp;"a",[11]Feuil1!$A$27:$EP$48,15,FALSE))</f>
        <v>7</v>
      </c>
      <c r="BL16" s="706">
        <f>IF(HLOOKUP($AL16&amp;"aa",[11]Feuil1!$A$27:$EP$48,15,FALSE)=FALSE,0,HLOOKUP($AL16&amp;"aa",[11]Feuil1!$A$27:$EP$48,15,FALSE))</f>
        <v>0</v>
      </c>
      <c r="BM16" s="706">
        <f>IF(OR(HLOOKUP($AL16&amp;"a",[11]Feuil1!$A$27:$EP$48,16,FALSE)=FALSE,HLOOKUP($AL16&amp;"a",[11]Feuil1!$A$27:$EP$48,16,FALSE)=""),0,HLOOKUP($AL16&amp;"a",[11]Feuil1!$A$27:$EP$48,16,FALSE))</f>
        <v>6</v>
      </c>
      <c r="BN16" s="706">
        <f>IF(HLOOKUP($AL16&amp;"aa",[11]Feuil1!$A$27:$EP$48,16,FALSE)=FALSE,0,HLOOKUP($AL16&amp;"aa",[11]Feuil1!$A$27:$EP$48,16,FALSE))</f>
        <v>0</v>
      </c>
      <c r="BO16" s="706">
        <f>IF(OR(HLOOKUP($AL16&amp;"a",[11]Feuil1!$A$27:$EP$48,17,FALSE)=FALSE,HLOOKUP($AL16&amp;"a",[11]Feuil1!$A$27:$EP$48,17,FALSE)=""),0,HLOOKUP($AL16&amp;"a",[11]Feuil1!$A$27:$EP$48,17,FALSE))</f>
        <v>3</v>
      </c>
      <c r="BP16" s="706">
        <f>IF(HLOOKUP($AL16&amp;"aa",[11]Feuil1!$A$27:$EP$48,17,FALSE)=FALSE,0,HLOOKUP($AL16&amp;"aa",[11]Feuil1!$A$27:$EP$48,17,FALSE))</f>
        <v>1</v>
      </c>
      <c r="BQ16" s="706">
        <f>IF(OR(HLOOKUP($AL16&amp;"a",[11]Feuil1!$A$27:$EP$48,18,FALSE)=FALSE,HLOOKUP($AL16&amp;"a",[11]Feuil1!$A$27:$EP$48,18,FALSE)=""),0,HLOOKUP($AL16&amp;"a",[11]Feuil1!$A$27:$EP$48,18,FALSE))</f>
        <v>5</v>
      </c>
      <c r="BR16" s="706">
        <f>IF(HLOOKUP($AL16&amp;"aa",[11]Feuil1!$A$27:$EP$48,18,FALSE)=FALSE,0,HLOOKUP($AL16&amp;"aa",[11]Feuil1!$A$27:$EP$48,18,FALSE))</f>
        <v>6</v>
      </c>
      <c r="BS16" s="707">
        <f>IF(AM16+AO16+AQ16+AS16+AU16+AW16+AY16+BA16+BC16+BE16+BG16+BI16+BK16+BM16+BO16+BQ16=0,BU16,IF(AK16=0,0,(AM16*AM$15+AO16*AO$15+AQ16*AQ$15+AS16*AS$15+AU16*AU$15+AW16*AW$15+AY16*AY$15+BA16*BA$15+BC16*BC$15+BE16*BE$15+BG16*BG$15+BI16*BI$15+BK16*BK$15+BM16*BM$15+BO16*BO$15+BQ16*BQ$15)/(AM16+AO16+AQ16+AS16+AU16+AW16+AY16+BA16+BC16+BE16+BG16+BI16+BK16+BM16+BO16)))</f>
        <v>16.678571428571427</v>
      </c>
      <c r="BT16" s="707">
        <f>IF(AN16+AP16+AR16+AT16+AV16+AX16+AZ16+BB16+BD16+BF16+BH16+BJ16+BL16+BN16+BP16+BR16=0,"",IF(AK16=0,"",(AN16*AM$15+AP16*AO$15+AR16*AQ$15+AT16*AS$15+AV16*AU$15+AX16*AW$15+AZ16*AY$15+BB16*BA$15+BD16*BC$15+BF16*BE$15+BH16*BG$15+BJ16*BI$15+BL16*BK$15+BN16*BM$15+BP16*BO$15+BR16*BQ$15)/(AN16+AP16+AR16+AT16+AV16+AX16+AZ16+BB16+BD16+BF16+BH16+BJ16+BL16+BN16+BP16+BR16)))</f>
        <v>19.857142857142858</v>
      </c>
      <c r="BU16" s="707">
        <f>IF(AK16=0,0,(AM16*AM$15+AN16*AM$15+AP16*AO$15+AR16*AQ$15+AT16*AS$15+AV16*AU$15+AX16*AW$15+AZ16*AY$15+BB16*BA$15+BD16*BC$15+BF16*BE$15+BH16*BG$15+BJ16*BI$15+BL16*BK$15+BN16*BM$15+AO16*AO$15+AQ16*AQ$15+AS16*AS$15+AU16*AU$15+AW16*AW$15+AY16*AY$15+BA16*BA$15+BC16*BC$15+BE16*BE$15+BG16*BG$15+BI16*BI$15+BK16*BK$15+BM16*BM$15+BO16*BO$15+BP16*BO$15+BQ16*BQ$15+BR16*BQ$15)/AK16)</f>
        <v>15.779411764705882</v>
      </c>
      <c r="BV16" s="708">
        <f ca="1">T16</f>
        <v>61</v>
      </c>
      <c r="BW16" s="708">
        <f ca="1">U16-T16</f>
        <v>7</v>
      </c>
      <c r="BX16" t="str">
        <f>TRIM(BZ16&amp;CA16)</f>
        <v>ALLANOAntoine</v>
      </c>
      <c r="BY16" s="709">
        <v>1</v>
      </c>
      <c r="BZ16" s="710" t="s">
        <v>510</v>
      </c>
      <c r="CA16" s="711" t="s">
        <v>511</v>
      </c>
      <c r="CB16" s="709">
        <v>5</v>
      </c>
      <c r="CC16" s="712" t="s">
        <v>512</v>
      </c>
      <c r="CD16" s="709" t="s">
        <v>513</v>
      </c>
      <c r="CE16" s="591" t="e">
        <f>VLOOKUP(TRIM(B16),$BX$16:$CD$101,6,FALSE)</f>
        <v>#N/A</v>
      </c>
      <c r="CH16" s="713"/>
      <c r="CI16" s="714"/>
      <c r="CK16" s="715">
        <f>MAX(CM16:CU16)</f>
        <v>19.900000000000091</v>
      </c>
      <c r="CL16" s="591">
        <f t="shared" ref="CL16:CL79" si="17">IF(D16=C16,0,IF(D16&lt;C16,1,2))</f>
        <v>0</v>
      </c>
      <c r="CM16" s="716">
        <f t="shared" ref="CM16:CU31" si="18">IF(F16="","",F16-E16)</f>
        <v>-5.6000000000040018E-2</v>
      </c>
      <c r="CN16" s="716">
        <f t="shared" si="18"/>
        <v>13</v>
      </c>
      <c r="CO16" s="716">
        <f t="shared" si="18"/>
        <v>5</v>
      </c>
      <c r="CP16" s="716">
        <f t="shared" si="18"/>
        <v>-8</v>
      </c>
      <c r="CQ16" s="716">
        <f t="shared" si="18"/>
        <v>0</v>
      </c>
      <c r="CR16" s="716">
        <f t="shared" si="18"/>
        <v>4</v>
      </c>
      <c r="CS16" s="716">
        <f t="shared" si="18"/>
        <v>4.0999999999999091</v>
      </c>
      <c r="CT16" s="716">
        <f t="shared" si="18"/>
        <v>19.900000000000091</v>
      </c>
      <c r="CU16" s="716">
        <f t="shared" si="18"/>
        <v>-3</v>
      </c>
      <c r="CV16" s="717" t="str">
        <f>IF(CN16="",CM16,IF(CO16="",CN16,IF(CP16="",CO16,IF(CQ16="",CP16,IF(CR16="",CQ16,IF(CS16="",CR16,IF(CT16="",CS16,"faux")))))))</f>
        <v>faux</v>
      </c>
      <c r="CW16" s="718">
        <f>IF(E16=0,"",VLOOKUP(B16,[10]liste!AU:BD,10,FALSE))</f>
        <v>2</v>
      </c>
      <c r="CX16" s="719">
        <f t="shared" ref="CX16:CX79" si="19">IF(E16="","",E16+Q16)</f>
        <v>2091</v>
      </c>
      <c r="CY16" s="720">
        <f>IF(CX16&lt;500,"NC",ROUNDDOWN(CX16/100,0))</f>
        <v>20</v>
      </c>
      <c r="CZ16" s="717" t="str">
        <f>IF(CR16="",CQ16,IF(CS16="",CR16,IF(CT16="",CS16,IF(CU16="",CT16,IF(CV16="",CU16,IF(CW16="",CV16,IF(CX16="",CW16,"faux")))))))</f>
        <v>faux</v>
      </c>
      <c r="DA16" s="721"/>
      <c r="DB16" s="719"/>
      <c r="DC16" s="722" t="str">
        <f t="shared" ref="DC16:DC79" ca="1" si="20">IF(CX16=0,"",IF(CX16=MAX(E16:P16),"x",""))</f>
        <v/>
      </c>
      <c r="DE16" s="723">
        <f t="shared" ref="DE16:DE79" si="21">IF(CW16=2,E16,"")</f>
        <v>2056.056</v>
      </c>
      <c r="DF16" s="723">
        <f t="shared" ref="DF16:DF79" si="22">IF(CW16=2,CX16,"")</f>
        <v>2091</v>
      </c>
      <c r="DG16" s="697" t="str">
        <f t="shared" ref="DG16:DG79" si="23">B16</f>
        <v>Brient Jean-François</v>
      </c>
      <c r="DH16" s="724">
        <f t="shared" ref="DH16:DH79" si="24">IF(E16=0,"",RANK(E16,E:E)-1-A16)</f>
        <v>0</v>
      </c>
      <c r="DI16" s="724">
        <f>CW16</f>
        <v>2</v>
      </c>
      <c r="DJ16" s="719">
        <f t="shared" ref="DJ16:DJ79" si="25">IF(E16="","",I16)</f>
        <v>2066</v>
      </c>
      <c r="DK16" s="719" t="str">
        <f t="shared" ref="DK16:DK79" si="26">IF(DI16=2,"",E16)</f>
        <v/>
      </c>
      <c r="DL16" s="719" t="str">
        <f>IF(DI16=2,"",CX16)</f>
        <v/>
      </c>
      <c r="DM16" s="719"/>
      <c r="DN16" s="719"/>
      <c r="DO16" s="719"/>
      <c r="DP16" s="720">
        <f>IF(DJ16&lt;500,"NC",ROUNDDOWN(DJ16/100,0))</f>
        <v>20</v>
      </c>
      <c r="DQ16" s="591">
        <f ca="1">VLOOKUP(DG16,[10]résultats!$A$2:$DE$70,109,FALSE)</f>
        <v>61</v>
      </c>
      <c r="DR16" s="591">
        <f ca="1">VLOOKUP(DG16,[10]résultats!$A$2:$DG$70,111,FALSE)</f>
        <v>68</v>
      </c>
      <c r="DT16" s="591">
        <f>IF(I16="",0,RANK(I16,$I$16:$I$71))</f>
        <v>1</v>
      </c>
      <c r="DU16" s="591">
        <f>IF(M16="",0,RANK(M16,$M$16:$M$71))</f>
        <v>1</v>
      </c>
    </row>
    <row r="17" spans="1:125" s="591" customFormat="1" ht="23.1" customHeight="1">
      <c r="A17" s="308">
        <f t="shared" si="9"/>
        <v>3</v>
      </c>
      <c r="B17" s="297" t="str">
        <f>IF(E17=0,"",VLOOKUP(E17,[10]liste!AM:AN,2,FALSE))</f>
        <v>Beyl Yann</v>
      </c>
      <c r="C17" s="298">
        <f>IF(E17=0,"",VLOOKUP(B17,[10]liste!AN:AP,3,FALSE))</f>
        <v>17</v>
      </c>
      <c r="D17" s="691">
        <f t="shared" si="10"/>
        <v>16</v>
      </c>
      <c r="E17" s="692">
        <f>LARGE([10]liste!AM:AM,2)</f>
        <v>1744.0429999999999</v>
      </c>
      <c r="F17" s="693">
        <v>1716</v>
      </c>
      <c r="G17" s="693">
        <v>1703</v>
      </c>
      <c r="H17" s="693">
        <v>1703</v>
      </c>
      <c r="I17" s="692">
        <v>1685</v>
      </c>
      <c r="J17" s="693">
        <v>1685</v>
      </c>
      <c r="K17" s="693">
        <v>1690</v>
      </c>
      <c r="L17" s="693">
        <v>1683</v>
      </c>
      <c r="M17" s="692">
        <v>1683</v>
      </c>
      <c r="N17" s="692">
        <v>1683</v>
      </c>
      <c r="O17" s="694"/>
      <c r="P17" s="695">
        <f t="shared" ca="1" si="11"/>
        <v>0</v>
      </c>
      <c r="Q17" s="170">
        <f t="shared" si="12"/>
        <v>-61.042999999999893</v>
      </c>
      <c r="R17" s="696">
        <f ca="1">IF(U17&lt;MAX(U$16:U$81)/6.2,"NS",IF(B17="",0,VLOOKUP(B17,[10]résultats!AX:DH,63,FALSE)))</f>
        <v>0.73334133639074639</v>
      </c>
      <c r="S17" s="697" t="str">
        <f t="shared" si="13"/>
        <v>Beyl Yann</v>
      </c>
      <c r="T17" s="171">
        <f t="shared" ca="1" si="14"/>
        <v>22</v>
      </c>
      <c r="U17" s="172">
        <f t="shared" ca="1" si="14"/>
        <v>30</v>
      </c>
      <c r="V17" s="292">
        <f ca="1">IF(B17="",0,HLOOKUP(B17&amp;"a",[11]Feuil1!$A$27:$FX$48,20,FALSE)+RAND()*0.0001)</f>
        <v>5.3785382402279697E-5</v>
      </c>
      <c r="W17" s="293">
        <f ca="1">IF(B17="",0,HLOOKUP(B17&amp;"a",[11]Feuil1!$A$27:$FX$48,21,FALSE))+RAND()*0.0001</f>
        <v>5.0000140694945481</v>
      </c>
      <c r="X17" s="725">
        <f t="shared" ref="X17:X54" si="27">IF(AK17=0,"",ROUND(BU17*100+50,0))</f>
        <v>1350</v>
      </c>
      <c r="Y17" s="701">
        <f t="shared" si="15"/>
        <v>1744.0429999999999</v>
      </c>
      <c r="Z17" s="604">
        <f>'[10] joueur de l''année'!Z40</f>
        <v>2</v>
      </c>
      <c r="AA17" s="1148" t="str">
        <f ca="1">'[10] joueur de l''année'!AA40</f>
        <v>Guehennec</v>
      </c>
      <c r="AB17" s="1150">
        <f ca="1">'[10] joueur de l''année'!AC40</f>
        <v>36.668140608183776</v>
      </c>
      <c r="AC17" s="554"/>
      <c r="AD17" s="173" t="str">
        <f ca="1">'[10] joueur de l''année'!AA19</f>
        <v>Morin Quentin</v>
      </c>
      <c r="AE17" s="301">
        <f ca="1">IF(AD17=0,"",VLOOKUP(AD17,'[10] joueur de l''année'!$A$3:$T$100,19,FALSE))</f>
        <v>49.166983751168736</v>
      </c>
      <c r="AF17" s="561"/>
      <c r="AH17" s="703" t="str">
        <f ca="1">[10]cal.Ph1!P2</f>
        <v>comité directeur</v>
      </c>
      <c r="AI17" s="704">
        <f ca="1">[10]cal.Ph1!O2</f>
        <v>42184.000000196182</v>
      </c>
      <c r="AJ17" s="677"/>
      <c r="AK17" s="677">
        <f t="shared" ref="AK17:AK67" si="28">IF(AL17="",0,SUM(AM17:BR17))</f>
        <v>30</v>
      </c>
      <c r="AL17" s="705" t="str">
        <f t="shared" si="16"/>
        <v>Beyl Yann</v>
      </c>
      <c r="AM17" s="706">
        <f>IF(OR(HLOOKUP($AL17&amp;"a",[11]Feuil1!$A$27:$EP$48,3,FALSE)=FALSE,HLOOKUP($AL17&amp;"a",[11]Feuil1!$A$27:$EP$48,3,FALSE)=""),0,HLOOKUP($AL17&amp;"a",[11]Feuil1!$A$27:$EP$48,3,FALSE))</f>
        <v>0</v>
      </c>
      <c r="AN17" s="706">
        <f>IF(HLOOKUP($AL17&amp;"aa",[11]Feuil1!$A$27:$EP$48,3,FALSE)=FALSE,0,HLOOKUP($AL17&amp;"aa",[11]Feuil1!$A$27:$EP$48,3,FALSE))</f>
        <v>0</v>
      </c>
      <c r="AO17" s="706">
        <f>IF(OR(HLOOKUP($AL17&amp;"a",[11]Feuil1!$A$27:$EP$48,4,FALSE)=FALSE,HLOOKUP($AL17&amp;"a",[11]Feuil1!$A$27:$EP$48,4,FALSE)=""),0,HLOOKUP($AL17&amp;"a",[11]Feuil1!$A$27:$EP$48,4,FALSE))</f>
        <v>1</v>
      </c>
      <c r="AP17" s="706">
        <f>IF(HLOOKUP($AL17&amp;"aa",[11]Feuil1!$A$27:$EP$48,4,FALSE)=FALSE,0,HLOOKUP($AL17&amp;"aa",[11]Feuil1!$A$27:$EP$48,4,FALSE))</f>
        <v>0</v>
      </c>
      <c r="AQ17" s="706">
        <f>IF(OR(HLOOKUP($AL17&amp;"a",[11]Feuil1!$A$27:$EP$48,5,FALSE)=FALSE,HLOOKUP($AL17&amp;"a",[11]Feuil1!$A$27:$EP$48,5,FALSE)=""),0,HLOOKUP($AL17&amp;"a",[11]Feuil1!$A$27:$EP$48,5,FALSE))</f>
        <v>1</v>
      </c>
      <c r="AR17" s="706">
        <f>IF(HLOOKUP($AL17&amp;"aa",[11]Feuil1!$A$27:$EP$48,5,FALSE)=FALSE,0,HLOOKUP($AL17&amp;"aa",[11]Feuil1!$A$27:$EP$48,5,FALSE))</f>
        <v>0</v>
      </c>
      <c r="AS17" s="706">
        <f>IF(OR(HLOOKUP($AL17&amp;"a",[11]Feuil1!$A$27:$EP$48,6,FALSE)=FALSE,HLOOKUP($AL17&amp;"a",[11]Feuil1!$A$27:$EP$48,6,FALSE)=""),0,HLOOKUP($AL17&amp;"a",[11]Feuil1!$A$27:$EP$48,6,FALSE))</f>
        <v>2</v>
      </c>
      <c r="AT17" s="706">
        <f>IF(HLOOKUP($AL17&amp;"aa",[11]Feuil1!$A$27:$EP$48,6,FALSE)=FALSE,0,HLOOKUP($AL17&amp;"aa",[11]Feuil1!$A$27:$EP$48,6,FALSE))</f>
        <v>0</v>
      </c>
      <c r="AU17" s="706">
        <f>IF(OR(HLOOKUP($AL17&amp;"a",[11]Feuil1!$A$27:$EP$48,7,FALSE)=FALSE,HLOOKUP($AL17&amp;"a",[11]Feuil1!$A$27:$EP$48,7,FALSE)=""),0,HLOOKUP($AL17&amp;"a",[11]Feuil1!$A$27:$EP$48,7,FALSE))</f>
        <v>0</v>
      </c>
      <c r="AV17" s="706">
        <f>IF(HLOOKUP($AL17&amp;"aa",[11]Feuil1!$A$27:$EP$48,7,FALSE)=FALSE,0,HLOOKUP($AL17&amp;"aa",[11]Feuil1!$A$27:$EP$48,7,FALSE))</f>
        <v>0</v>
      </c>
      <c r="AW17" s="706">
        <f>IF(OR(HLOOKUP($AL17&amp;"a",[11]Feuil1!$A$27:$EP$48,8,FALSE)=FALSE,HLOOKUP($AL17&amp;"a",[11]Feuil1!$A$27:$EP$48,8,FALSE)=""),0,HLOOKUP($AL17&amp;"a",[11]Feuil1!$A$27:$EP$48,8,FALSE))</f>
        <v>0</v>
      </c>
      <c r="AX17" s="706">
        <f>IF(HLOOKUP($AL17&amp;"aa",[11]Feuil1!$A$27:$EP$48,8,FALSE)=FALSE,0,HLOOKUP($AL17&amp;"aa",[11]Feuil1!$A$27:$EP$48,8,FALSE))</f>
        <v>0</v>
      </c>
      <c r="AY17" s="706">
        <f>IF(OR(HLOOKUP($AL17&amp;"a",[11]Feuil1!$A$27:$EP$48,9,FALSE)=FALSE,HLOOKUP($AL17&amp;"a",[11]Feuil1!$A$27:$EP$48,9,FALSE)=""),0,HLOOKUP($AL17&amp;"a",[11]Feuil1!$A$27:$EP$48,9,FALSE))</f>
        <v>4</v>
      </c>
      <c r="AZ17" s="706">
        <f>IF(HLOOKUP($AL17&amp;"aa",[11]Feuil1!$A$27:$EP$48,9,FALSE)=FALSE,0,HLOOKUP($AL17&amp;"aa",[11]Feuil1!$A$27:$EP$48,9,FALSE))</f>
        <v>0</v>
      </c>
      <c r="BA17" s="706">
        <f>IF(OR(HLOOKUP($AL17&amp;"a",[11]Feuil1!$A$27:$EP$48,10,FALSE)=FALSE,HLOOKUP($AL17&amp;"a",[11]Feuil1!$A$27:$EP$48,10,FALSE)=""),0,HLOOKUP($AL17&amp;"a",[11]Feuil1!$A$27:$EP$48,10,FALSE))</f>
        <v>0</v>
      </c>
      <c r="BB17" s="706">
        <f>IF(HLOOKUP($AL17&amp;"aa",[11]Feuil1!$A$27:$EP$48,10,FALSE)=FALSE,0,HLOOKUP($AL17&amp;"aa",[11]Feuil1!$A$27:$EP$48,10,FALSE))</f>
        <v>0</v>
      </c>
      <c r="BC17" s="706">
        <f>IF(OR(HLOOKUP($AL17&amp;"a",[11]Feuil1!$A$27:$EP$48,11,FALSE)=FALSE,HLOOKUP($AL17&amp;"a",[11]Feuil1!$A$27:$EP$48,11,FALSE)=""),0,HLOOKUP($AL17&amp;"a",[11]Feuil1!$A$27:$EP$48,11,FALSE))</f>
        <v>7</v>
      </c>
      <c r="BD17" s="706">
        <f>IF(HLOOKUP($AL17&amp;"aa",[11]Feuil1!$A$27:$EP$48,11,FALSE)=FALSE,0,HLOOKUP($AL17&amp;"aa",[11]Feuil1!$A$27:$EP$48,11,FALSE))</f>
        <v>2</v>
      </c>
      <c r="BE17" s="706">
        <f>IF(OR(HLOOKUP($AL17&amp;"a",[11]Feuil1!$A$27:$EP$48,12,FALSE)=FALSE,HLOOKUP($AL17&amp;"a",[11]Feuil1!$A$27:$EP$48,12,FALSE)=""),0,HLOOKUP($AL17&amp;"a",[11]Feuil1!$A$27:$EP$48,12,FALSE))</f>
        <v>2</v>
      </c>
      <c r="BF17" s="706">
        <f>IF(HLOOKUP($AL17&amp;"aa",[11]Feuil1!$A$27:$EP$48,12,FALSE)=FALSE,0,HLOOKUP($AL17&amp;"aa",[11]Feuil1!$A$27:$EP$48,12,FALSE))</f>
        <v>3</v>
      </c>
      <c r="BG17" s="706">
        <f>IF(OR(HLOOKUP($AL17&amp;"a",[11]Feuil1!$A$27:$EP$48,13,FALSE)=FALSE,HLOOKUP($AL17&amp;"a",[11]Feuil1!$A$27:$EP$48,13,FALSE)=""),0,HLOOKUP($AL17&amp;"a",[11]Feuil1!$A$27:$EP$48,13,FALSE))</f>
        <v>4</v>
      </c>
      <c r="BH17" s="706">
        <f>IF(HLOOKUP($AL17&amp;"aa",[11]Feuil1!$A$27:$EP$48,13,FALSE)=FALSE,0,HLOOKUP($AL17&amp;"aa",[11]Feuil1!$A$27:$EP$48,13,FALSE))</f>
        <v>0</v>
      </c>
      <c r="BI17" s="706">
        <f>IF(OR(HLOOKUP($AL17&amp;"a",[11]Feuil1!$A$27:$EP$48,14,FALSE)=FALSE,HLOOKUP($AL17&amp;"a",[11]Feuil1!$A$27:$EP$48,14,FALSE)=""),0,HLOOKUP($AL17&amp;"a",[11]Feuil1!$A$27:$EP$48,14,FALSE))</f>
        <v>1</v>
      </c>
      <c r="BJ17" s="706">
        <f>IF(HLOOKUP($AL17&amp;"aa",[11]Feuil1!$A$27:$EP$48,14,FALSE)=FALSE,0,HLOOKUP($AL17&amp;"aa",[11]Feuil1!$A$27:$EP$48,14,FALSE))</f>
        <v>0</v>
      </c>
      <c r="BK17" s="706">
        <f>IF(OR(HLOOKUP($AL17&amp;"a",[11]Feuil1!$A$27:$EP$48,15,FALSE)=FALSE,HLOOKUP($AL17&amp;"a",[11]Feuil1!$A$27:$EP$48,15,FALSE)=""),0,HLOOKUP($AL17&amp;"a",[11]Feuil1!$A$27:$EP$48,15,FALSE))</f>
        <v>0</v>
      </c>
      <c r="BL17" s="706">
        <f>IF(HLOOKUP($AL17&amp;"aa",[11]Feuil1!$A$27:$EP$48,15,FALSE)=FALSE,0,HLOOKUP($AL17&amp;"aa",[11]Feuil1!$A$27:$EP$48,15,FALSE))</f>
        <v>1</v>
      </c>
      <c r="BM17" s="706">
        <f>IF(OR(HLOOKUP($AL17&amp;"a",[11]Feuil1!$A$27:$EP$48,16,FALSE)=FALSE,HLOOKUP($AL17&amp;"a",[11]Feuil1!$A$27:$EP$48,16,FALSE)=""),0,HLOOKUP($AL17&amp;"a",[11]Feuil1!$A$27:$EP$48,16,FALSE))</f>
        <v>0</v>
      </c>
      <c r="BN17" s="706">
        <f>IF(HLOOKUP($AL17&amp;"aa",[11]Feuil1!$A$27:$EP$48,16,FALSE)=FALSE,0,HLOOKUP($AL17&amp;"aa",[11]Feuil1!$A$27:$EP$48,16,FALSE))</f>
        <v>1</v>
      </c>
      <c r="BO17" s="706">
        <f>IF(OR(HLOOKUP($AL17&amp;"a",[11]Feuil1!$A$27:$EP$48,17,FALSE)=FALSE,HLOOKUP($AL17&amp;"a",[11]Feuil1!$A$27:$EP$48,17,FALSE)=""),0,HLOOKUP($AL17&amp;"a",[11]Feuil1!$A$27:$EP$48,17,FALSE))</f>
        <v>0</v>
      </c>
      <c r="BP17" s="706">
        <f>IF(HLOOKUP($AL17&amp;"aa",[11]Feuil1!$A$27:$EP$48,17,FALSE)=FALSE,0,HLOOKUP($AL17&amp;"aa",[11]Feuil1!$A$27:$EP$48,17,FALSE))</f>
        <v>1</v>
      </c>
      <c r="BQ17" s="706">
        <f>IF(OR(HLOOKUP($AL17&amp;"a",[11]Feuil1!$A$27:$EP$48,18,FALSE)=FALSE,HLOOKUP($AL17&amp;"a",[11]Feuil1!$A$27:$EP$48,18,FALSE)=""),0,HLOOKUP($AL17&amp;"a",[11]Feuil1!$A$27:$EP$48,18,FALSE))</f>
        <v>0</v>
      </c>
      <c r="BR17" s="706">
        <f>IF(HLOOKUP($AL17&amp;"aa",[11]Feuil1!$A$27:$EP$48,18,FALSE)=FALSE,0,HLOOKUP($AL17&amp;"aa",[11]Feuil1!$A$27:$EP$48,18,FALSE))</f>
        <v>0</v>
      </c>
      <c r="BS17" s="707">
        <f t="shared" ref="BS17:BS67" si="29">IF(AM17+AO17+AQ17+AS17+AU17+AW17+AY17+BA17+BC17+BE17+BG17+BI17+BK17+BM17+BO17+BQ17=0,BU17,IF(AK17=0,0,(AM17*AM$15+AO17*AO$15+AQ17*AQ$15+AS17*AS$15+AU17*AU$15+AW17*AW$15+AY17*AY$15+BA17*BA$15+BC17*BC$15+BE17*BE$15+BG17*BG$15+BI17*BI$15+BK17*BK$15+BM17*BM$15+BO17*BO$15+BQ17*BQ$15)/(AM17+AO17+AQ17+AS17+AU17+AW17+AY17+BA17+BC17+BE17+BG17+BI17+BK17+BM17+BO17)))</f>
        <v>12.181818181818182</v>
      </c>
      <c r="BT17" s="707">
        <f t="shared" ref="BT17:BT67" si="30">IF(AN17+AP17+AR17+AT17+AV17+AX17+AZ17+BB17+BD17+BF17+BH17+BJ17+BL17+BN17+BP17+BR17=0,"",IF(AK17=0,"",(AN17*AM$15+AP17*AO$15+AR17*AQ$15+AT17*AS$15+AV17*AU$15+AX17*AW$15+AZ17*AY$15+BB17*BA$15+BD17*BC$15+BF17*BE$15+BH17*BG$15+BJ17*BI$15+BL17*BK$15+BN17*BM$15+BP17*BO$15+BR17*BQ$15)/(AN17+AP17+AR17+AT17+AV17+AX17+AZ17+BB17+BD17+BF17+BH17+BJ17+BL17+BN17+BP17+BR17)))</f>
        <v>15.25</v>
      </c>
      <c r="BU17" s="707">
        <f t="shared" ref="BU17:BU67" si="31">IF(AK17=0,0,(AM17*AM$15+AN17*AM$15+AP17*AO$15+AR17*AQ$15+AT17*AS$15+AV17*AU$15+AX17*AW$15+AZ17*AY$15+BB17*BA$15+BD17*BC$15+BF17*BE$15+BH17*BG$15+BJ17*BI$15+BL17*BK$15+BN17*BM$15+AO17*AO$15+AQ17*AQ$15+AS17*AS$15+AU17*AU$15+AW17*AW$15+AY17*AY$15+BA17*BA$15+BC17*BC$15+BE17*BE$15+BG17*BG$15+BI17*BI$15+BK17*BK$15+BM17*BM$15+BO17*BO$15+BP17*BO$15+BQ17*BQ$15+BR17*BQ$15)/AK17)</f>
        <v>13</v>
      </c>
      <c r="BV17" s="708">
        <f t="shared" ref="BV17:BV47" ca="1" si="32">T17</f>
        <v>22</v>
      </c>
      <c r="BW17" s="708">
        <f t="shared" ref="BW17:BW47" ca="1" si="33">U17-T17</f>
        <v>8</v>
      </c>
      <c r="BX17" t="str">
        <f t="shared" ref="BX17:BX50" si="34">TRIM(BZ17&amp;CA17)</f>
        <v>BAUDAIS Luc</v>
      </c>
      <c r="BY17" s="726">
        <v>2</v>
      </c>
      <c r="BZ17" s="727" t="s">
        <v>514</v>
      </c>
      <c r="CA17" s="728" t="s">
        <v>515</v>
      </c>
      <c r="CB17" s="726">
        <v>10</v>
      </c>
      <c r="CC17" s="729" t="s">
        <v>516</v>
      </c>
      <c r="CD17" s="726" t="s">
        <v>517</v>
      </c>
      <c r="CE17" s="591" t="e">
        <f t="shared" ref="CE17:CE48" si="35">VLOOKUP(TRIM(B17),$BX$16:$CD$101,6,FALSE)</f>
        <v>#N/A</v>
      </c>
      <c r="CF17" s="561"/>
      <c r="CG17" s="561"/>
      <c r="CH17" s="564"/>
      <c r="CI17" s="714"/>
      <c r="CK17" s="715">
        <f t="shared" ref="CK17:CK80" si="36">MAX(CM17:CU17)</f>
        <v>5</v>
      </c>
      <c r="CL17" s="591">
        <f t="shared" si="17"/>
        <v>1</v>
      </c>
      <c r="CM17" s="716">
        <f t="shared" si="18"/>
        <v>-28.042999999999893</v>
      </c>
      <c r="CN17" s="716">
        <f t="shared" si="18"/>
        <v>-13</v>
      </c>
      <c r="CO17" s="716">
        <f t="shared" si="18"/>
        <v>0</v>
      </c>
      <c r="CP17" s="716">
        <f t="shared" si="18"/>
        <v>-18</v>
      </c>
      <c r="CQ17" s="716">
        <f t="shared" si="18"/>
        <v>0</v>
      </c>
      <c r="CR17" s="716">
        <f t="shared" si="18"/>
        <v>5</v>
      </c>
      <c r="CS17" s="716">
        <f t="shared" si="18"/>
        <v>-7</v>
      </c>
      <c r="CT17" s="716">
        <f t="shared" si="18"/>
        <v>0</v>
      </c>
      <c r="CU17" s="716">
        <f t="shared" si="18"/>
        <v>0</v>
      </c>
      <c r="CV17" s="717" t="str">
        <f t="shared" ref="CV17:CV80" si="37">IF(CN17="",CM17,IF(CO17="",CN17,IF(CP17="",CO17,IF(CQ17="",CP17,IF(CR17="",CQ17,IF(CS17="",CR17,IF(CT17="",CS17,"faux")))))))</f>
        <v>faux</v>
      </c>
      <c r="CW17" s="718">
        <f>IF(E17=0,"",VLOOKUP(B17,[10]liste!AU:BD,10,FALSE))</f>
        <v>2</v>
      </c>
      <c r="CX17" s="719">
        <f t="shared" si="19"/>
        <v>1683</v>
      </c>
      <c r="CY17" s="720">
        <f t="shared" ref="CY17:CY80" si="38">IF(CX17&lt;500,"NC",ROUNDDOWN(CX17/100,0))</f>
        <v>16</v>
      </c>
      <c r="CZ17" s="721"/>
      <c r="DA17" s="721"/>
      <c r="DB17" s="719"/>
      <c r="DC17" s="722" t="str">
        <f t="shared" ca="1" si="20"/>
        <v/>
      </c>
      <c r="DE17" s="723">
        <f t="shared" si="21"/>
        <v>1744.0429999999999</v>
      </c>
      <c r="DF17" s="723">
        <f t="shared" si="22"/>
        <v>1683</v>
      </c>
      <c r="DG17" s="697" t="str">
        <f t="shared" si="23"/>
        <v>Beyl Yann</v>
      </c>
      <c r="DH17" s="724">
        <f t="shared" si="24"/>
        <v>-1</v>
      </c>
      <c r="DI17" s="724">
        <f t="shared" ref="DI17:DI80" si="39">CW17</f>
        <v>2</v>
      </c>
      <c r="DJ17" s="719">
        <f t="shared" si="25"/>
        <v>1685</v>
      </c>
      <c r="DK17" s="719" t="str">
        <f t="shared" si="26"/>
        <v/>
      </c>
      <c r="DL17" s="719" t="str">
        <f t="shared" ref="DL17:DL80" si="40">IF(DI17=2,"",CX17)</f>
        <v/>
      </c>
      <c r="DM17" s="719"/>
      <c r="DN17" s="719"/>
      <c r="DO17" s="719"/>
      <c r="DP17" s="720">
        <f t="shared" ref="DP17:DP80" si="41">IF(DJ17&lt;500,"NC",ROUNDDOWN(DJ17/100,0))</f>
        <v>16</v>
      </c>
      <c r="DQ17" s="591">
        <f ca="1">VLOOKUP(DG17,[10]résultats!$A$2:$DE$70,109,FALSE)</f>
        <v>22</v>
      </c>
      <c r="DR17" s="591">
        <f ca="1">VLOOKUP(DG17,[10]résultats!$A$2:$DG$70,111,FALSE)</f>
        <v>30</v>
      </c>
      <c r="DT17" s="591">
        <f t="shared" ref="DT17:DT60" si="42">IF(I17="",0,RANK(I17,$I$16:$I$71))</f>
        <v>3</v>
      </c>
      <c r="DU17" s="591">
        <f t="shared" ref="DU17:DU80" si="43">IF(M17="",0,RANK(M17,$M$16:$M$71))</f>
        <v>3</v>
      </c>
    </row>
    <row r="18" spans="1:125" s="591" customFormat="1" ht="23.1" customHeight="1">
      <c r="A18" s="308">
        <f t="shared" si="9"/>
        <v>2</v>
      </c>
      <c r="B18" s="297" t="str">
        <f>IF(E18=0,"",VLOOKUP(E18,[10]liste!AM:AN,2,FALSE))</f>
        <v>Flégeau Matthieu</v>
      </c>
      <c r="C18" s="298">
        <f>IF(E18=0,"",VLOOKUP(B18,[10]liste!AN:AP,3,FALSE))</f>
        <v>17</v>
      </c>
      <c r="D18" s="691">
        <f t="shared" si="10"/>
        <v>17</v>
      </c>
      <c r="E18" s="692">
        <f>LARGE([10]liste!AM:AM,3)</f>
        <v>1740.095</v>
      </c>
      <c r="F18" s="693">
        <v>1740</v>
      </c>
      <c r="G18" s="693">
        <v>1746</v>
      </c>
      <c r="H18" s="693">
        <v>1758</v>
      </c>
      <c r="I18" s="692">
        <v>1729</v>
      </c>
      <c r="J18" s="693">
        <v>1756</v>
      </c>
      <c r="K18" s="693">
        <v>1755</v>
      </c>
      <c r="L18" s="693">
        <v>1755</v>
      </c>
      <c r="M18" s="692">
        <v>1759</v>
      </c>
      <c r="N18" s="692">
        <v>1758.9</v>
      </c>
      <c r="O18" s="694"/>
      <c r="P18" s="695">
        <f t="shared" ca="1" si="11"/>
        <v>-9.9999999999909051E-2</v>
      </c>
      <c r="Q18" s="170">
        <f t="shared" si="12"/>
        <v>18.805000000000064</v>
      </c>
      <c r="R18" s="696">
        <f ca="1">IF(U18&lt;MAX(U$16:U$81)/6.2,"NS",IF(B18="",0,VLOOKUP(B18,[10]résultats!AX:DH,63,FALSE)))</f>
        <v>0.78434671616931706</v>
      </c>
      <c r="S18" s="697" t="str">
        <f t="shared" si="13"/>
        <v>Flégeau Matthieu</v>
      </c>
      <c r="T18" s="171">
        <f t="shared" ca="1" si="14"/>
        <v>40</v>
      </c>
      <c r="U18" s="172">
        <f t="shared" ca="1" si="14"/>
        <v>51</v>
      </c>
      <c r="V18" s="292">
        <f ca="1">IF(B18="",0,HLOOKUP(B18&amp;"a",[11]Feuil1!$A$27:$FX$48,20,FALSE)+RAND()*0.0001)</f>
        <v>4.2301207132602269E-5</v>
      </c>
      <c r="W18" s="293">
        <f ca="1">IF(B18="",0,HLOOKUP(B18&amp;"a",[11]Feuil1!$A$27:$FX$48,21,FALSE))+RAND()*0.0001</f>
        <v>4.0000857864084827</v>
      </c>
      <c r="X18" s="725">
        <f t="shared" si="27"/>
        <v>1464</v>
      </c>
      <c r="Y18" s="701">
        <f t="shared" si="15"/>
        <v>1759</v>
      </c>
      <c r="Z18" s="604">
        <f>'[10] joueur de l''année'!Z41</f>
        <v>3</v>
      </c>
      <c r="AA18" s="1148" t="str">
        <f ca="1">'[10] joueur de l''année'!AA41</f>
        <v>Couture</v>
      </c>
      <c r="AB18" s="1150">
        <f ca="1">'[10] joueur de l''année'!AC41</f>
        <v>35.955549004299201</v>
      </c>
      <c r="AC18" s="554"/>
      <c r="AD18" s="173" t="str">
        <f ca="1">'[10] joueur de l''année'!AA20</f>
        <v>Hilton Franck</v>
      </c>
      <c r="AE18" s="301">
        <f ca="1">IF(AD18=0,"",VLOOKUP(AD18,'[10] joueur de l''année'!$A$3:$T$100,19,FALSE))</f>
        <v>48.120588685487775</v>
      </c>
      <c r="AF18" s="561"/>
      <c r="AH18" s="703" t="str">
        <f ca="1">[10]cal.Ph1!P3</f>
        <v>Vacances : Vacances d'été</v>
      </c>
      <c r="AI18" s="704">
        <f ca="1">[10]cal.Ph1!O3</f>
        <v>42189.000000764412</v>
      </c>
      <c r="AJ18" s="677"/>
      <c r="AK18" s="677">
        <f t="shared" si="28"/>
        <v>51</v>
      </c>
      <c r="AL18" s="705" t="str">
        <f t="shared" si="16"/>
        <v>Flégeau Matthieu</v>
      </c>
      <c r="AM18" s="706">
        <f>IF(OR(HLOOKUP($AL18&amp;"a",[11]Feuil1!$A$27:$EP$48,3,FALSE)=FALSE,HLOOKUP($AL18&amp;"a",[11]Feuil1!$A$27:$EP$48,3,FALSE)=""),0,HLOOKUP($AL18&amp;"a",[11]Feuil1!$A$27:$EP$48,3,FALSE))</f>
        <v>1</v>
      </c>
      <c r="AN18" s="706">
        <f>IF(HLOOKUP($AL18&amp;"aa",[11]Feuil1!$A$27:$EP$48,3,FALSE)=FALSE,0,HLOOKUP($AL18&amp;"aa",[11]Feuil1!$A$27:$EP$48,3,FALSE))</f>
        <v>0</v>
      </c>
      <c r="AO18" s="706">
        <f>IF(OR(HLOOKUP($AL18&amp;"a",[11]Feuil1!$A$27:$EP$48,4,FALSE)=FALSE,HLOOKUP($AL18&amp;"a",[11]Feuil1!$A$27:$EP$48,4,FALSE)=""),0,HLOOKUP($AL18&amp;"a",[11]Feuil1!$A$27:$EP$48,4,FALSE))</f>
        <v>1</v>
      </c>
      <c r="AP18" s="706">
        <f>IF(HLOOKUP($AL18&amp;"aa",[11]Feuil1!$A$27:$EP$48,4,FALSE)=FALSE,0,HLOOKUP($AL18&amp;"aa",[11]Feuil1!$A$27:$EP$48,4,FALSE))</f>
        <v>0</v>
      </c>
      <c r="AQ18" s="706">
        <f>IF(OR(HLOOKUP($AL18&amp;"a",[11]Feuil1!$A$27:$EP$48,5,FALSE)=FALSE,HLOOKUP($AL18&amp;"a",[11]Feuil1!$A$27:$EP$48,5,FALSE)=""),0,HLOOKUP($AL18&amp;"a",[11]Feuil1!$A$27:$EP$48,5,FALSE))</f>
        <v>1</v>
      </c>
      <c r="AR18" s="706">
        <f>IF(HLOOKUP($AL18&amp;"aa",[11]Feuil1!$A$27:$EP$48,5,FALSE)=FALSE,0,HLOOKUP($AL18&amp;"aa",[11]Feuil1!$A$27:$EP$48,5,FALSE))</f>
        <v>0</v>
      </c>
      <c r="AS18" s="706">
        <f>IF(OR(HLOOKUP($AL18&amp;"a",[11]Feuil1!$A$27:$EP$48,6,FALSE)=FALSE,HLOOKUP($AL18&amp;"a",[11]Feuil1!$A$27:$EP$48,6,FALSE)=""),0,HLOOKUP($AL18&amp;"a",[11]Feuil1!$A$27:$EP$48,6,FALSE))</f>
        <v>1</v>
      </c>
      <c r="AT18" s="706">
        <f>IF(HLOOKUP($AL18&amp;"aa",[11]Feuil1!$A$27:$EP$48,6,FALSE)=FALSE,0,HLOOKUP($AL18&amp;"aa",[11]Feuil1!$A$27:$EP$48,6,FALSE))</f>
        <v>0</v>
      </c>
      <c r="AU18" s="706">
        <f>IF(OR(HLOOKUP($AL18&amp;"a",[11]Feuil1!$A$27:$EP$48,7,FALSE)=FALSE,HLOOKUP($AL18&amp;"a",[11]Feuil1!$A$27:$EP$48,7,FALSE)=""),0,HLOOKUP($AL18&amp;"a",[11]Feuil1!$A$27:$EP$48,7,FALSE))</f>
        <v>0</v>
      </c>
      <c r="AV18" s="706">
        <f>IF(HLOOKUP($AL18&amp;"aa",[11]Feuil1!$A$27:$EP$48,7,FALSE)=FALSE,0,HLOOKUP($AL18&amp;"aa",[11]Feuil1!$A$27:$EP$48,7,FALSE))</f>
        <v>0</v>
      </c>
      <c r="AW18" s="706">
        <f>IF(OR(HLOOKUP($AL18&amp;"a",[11]Feuil1!$A$27:$EP$48,8,FALSE)=FALSE,HLOOKUP($AL18&amp;"a",[11]Feuil1!$A$27:$EP$48,8,FALSE)=""),0,HLOOKUP($AL18&amp;"a",[11]Feuil1!$A$27:$EP$48,8,FALSE))</f>
        <v>3</v>
      </c>
      <c r="AX18" s="706">
        <f>IF(HLOOKUP($AL18&amp;"aa",[11]Feuil1!$A$27:$EP$48,8,FALSE)=FALSE,0,HLOOKUP($AL18&amp;"aa",[11]Feuil1!$A$27:$EP$48,8,FALSE))</f>
        <v>0</v>
      </c>
      <c r="AY18" s="706">
        <f>IF(OR(HLOOKUP($AL18&amp;"a",[11]Feuil1!$A$27:$EP$48,9,FALSE)=FALSE,HLOOKUP($AL18&amp;"a",[11]Feuil1!$A$27:$EP$48,9,FALSE)=""),0,HLOOKUP($AL18&amp;"a",[11]Feuil1!$A$27:$EP$48,9,FALSE))</f>
        <v>2</v>
      </c>
      <c r="AZ18" s="706">
        <f>IF(HLOOKUP($AL18&amp;"aa",[11]Feuil1!$A$27:$EP$48,9,FALSE)=FALSE,0,HLOOKUP($AL18&amp;"aa",[11]Feuil1!$A$27:$EP$48,9,FALSE))</f>
        <v>0</v>
      </c>
      <c r="BA18" s="706">
        <f>IF(OR(HLOOKUP($AL18&amp;"a",[11]Feuil1!$A$27:$EP$48,10,FALSE)=FALSE,HLOOKUP($AL18&amp;"a",[11]Feuil1!$A$27:$EP$48,10,FALSE)=""),0,HLOOKUP($AL18&amp;"a",[11]Feuil1!$A$27:$EP$48,10,FALSE))</f>
        <v>4</v>
      </c>
      <c r="BB18" s="706">
        <f>IF(HLOOKUP($AL18&amp;"aa",[11]Feuil1!$A$27:$EP$48,10,FALSE)=FALSE,0,HLOOKUP($AL18&amp;"aa",[11]Feuil1!$A$27:$EP$48,10,FALSE))</f>
        <v>0</v>
      </c>
      <c r="BC18" s="706">
        <f>IF(OR(HLOOKUP($AL18&amp;"a",[11]Feuil1!$A$27:$EP$48,11,FALSE)=FALSE,HLOOKUP($AL18&amp;"a",[11]Feuil1!$A$27:$EP$48,11,FALSE)=""),0,HLOOKUP($AL18&amp;"a",[11]Feuil1!$A$27:$EP$48,11,FALSE))</f>
        <v>1</v>
      </c>
      <c r="BD18" s="706">
        <f>IF(HLOOKUP($AL18&amp;"aa",[11]Feuil1!$A$27:$EP$48,11,FALSE)=FALSE,0,HLOOKUP($AL18&amp;"aa",[11]Feuil1!$A$27:$EP$48,11,FALSE))</f>
        <v>0</v>
      </c>
      <c r="BE18" s="706">
        <f>IF(OR(HLOOKUP($AL18&amp;"a",[11]Feuil1!$A$27:$EP$48,12,FALSE)=FALSE,HLOOKUP($AL18&amp;"a",[11]Feuil1!$A$27:$EP$48,12,FALSE)=""),0,HLOOKUP($AL18&amp;"a",[11]Feuil1!$A$27:$EP$48,12,FALSE))</f>
        <v>8</v>
      </c>
      <c r="BF18" s="706">
        <f>IF(HLOOKUP($AL18&amp;"aa",[11]Feuil1!$A$27:$EP$48,12,FALSE)=FALSE,0,HLOOKUP($AL18&amp;"aa",[11]Feuil1!$A$27:$EP$48,12,FALSE))</f>
        <v>1</v>
      </c>
      <c r="BG18" s="706">
        <f>IF(OR(HLOOKUP($AL18&amp;"a",[11]Feuil1!$A$27:$EP$48,13,FALSE)=FALSE,HLOOKUP($AL18&amp;"a",[11]Feuil1!$A$27:$EP$48,13,FALSE)=""),0,HLOOKUP($AL18&amp;"a",[11]Feuil1!$A$27:$EP$48,13,FALSE))</f>
        <v>8</v>
      </c>
      <c r="BH18" s="706">
        <f>IF(HLOOKUP($AL18&amp;"aa",[11]Feuil1!$A$27:$EP$48,13,FALSE)=FALSE,0,HLOOKUP($AL18&amp;"aa",[11]Feuil1!$A$27:$EP$48,13,FALSE))</f>
        <v>1</v>
      </c>
      <c r="BI18" s="706">
        <f>IF(OR(HLOOKUP($AL18&amp;"a",[11]Feuil1!$A$27:$EP$48,14,FALSE)=FALSE,HLOOKUP($AL18&amp;"a",[11]Feuil1!$A$27:$EP$48,14,FALSE)=""),0,HLOOKUP($AL18&amp;"a",[11]Feuil1!$A$27:$EP$48,14,FALSE))</f>
        <v>7</v>
      </c>
      <c r="BJ18" s="706">
        <f>IF(HLOOKUP($AL18&amp;"aa",[11]Feuil1!$A$27:$EP$48,14,FALSE)=FALSE,0,HLOOKUP($AL18&amp;"aa",[11]Feuil1!$A$27:$EP$48,14,FALSE))</f>
        <v>2</v>
      </c>
      <c r="BK18" s="706">
        <f>IF(OR(HLOOKUP($AL18&amp;"a",[11]Feuil1!$A$27:$EP$48,15,FALSE)=FALSE,HLOOKUP($AL18&amp;"a",[11]Feuil1!$A$27:$EP$48,15,FALSE)=""),0,HLOOKUP($AL18&amp;"a",[11]Feuil1!$A$27:$EP$48,15,FALSE))</f>
        <v>3</v>
      </c>
      <c r="BL18" s="706">
        <f>IF(HLOOKUP($AL18&amp;"aa",[11]Feuil1!$A$27:$EP$48,15,FALSE)=FALSE,0,HLOOKUP($AL18&amp;"aa",[11]Feuil1!$A$27:$EP$48,15,FALSE))</f>
        <v>1</v>
      </c>
      <c r="BM18" s="706">
        <f>IF(OR(HLOOKUP($AL18&amp;"a",[11]Feuil1!$A$27:$EP$48,16,FALSE)=FALSE,HLOOKUP($AL18&amp;"a",[11]Feuil1!$A$27:$EP$48,16,FALSE)=""),0,HLOOKUP($AL18&amp;"a",[11]Feuil1!$A$27:$EP$48,16,FALSE))</f>
        <v>0</v>
      </c>
      <c r="BN18" s="706">
        <f>IF(HLOOKUP($AL18&amp;"aa",[11]Feuil1!$A$27:$EP$48,16,FALSE)=FALSE,0,HLOOKUP($AL18&amp;"aa",[11]Feuil1!$A$27:$EP$48,16,FALSE))</f>
        <v>5</v>
      </c>
      <c r="BO18" s="706">
        <f>IF(OR(HLOOKUP($AL18&amp;"a",[11]Feuil1!$A$27:$EP$48,17,FALSE)=FALSE,HLOOKUP($AL18&amp;"a",[11]Feuil1!$A$27:$EP$48,17,FALSE)=""),0,HLOOKUP($AL18&amp;"a",[11]Feuil1!$A$27:$EP$48,17,FALSE))</f>
        <v>0</v>
      </c>
      <c r="BP18" s="706">
        <f>IF(HLOOKUP($AL18&amp;"aa",[11]Feuil1!$A$27:$EP$48,17,FALSE)=FALSE,0,HLOOKUP($AL18&amp;"aa",[11]Feuil1!$A$27:$EP$48,17,FALSE))</f>
        <v>1</v>
      </c>
      <c r="BQ18" s="706">
        <f>IF(OR(HLOOKUP($AL18&amp;"a",[11]Feuil1!$A$27:$EP$48,18,FALSE)=FALSE,HLOOKUP($AL18&amp;"a",[11]Feuil1!$A$27:$EP$48,18,FALSE)=""),0,HLOOKUP($AL18&amp;"a",[11]Feuil1!$A$27:$EP$48,18,FALSE))</f>
        <v>0</v>
      </c>
      <c r="BR18" s="706">
        <f>IF(HLOOKUP($AL18&amp;"aa",[11]Feuil1!$A$27:$EP$48,18,FALSE)=FALSE,0,HLOOKUP($AL18&amp;"aa",[11]Feuil1!$A$27:$EP$48,18,FALSE))</f>
        <v>0</v>
      </c>
      <c r="BS18" s="707">
        <f t="shared" si="29"/>
        <v>13.35</v>
      </c>
      <c r="BT18" s="707">
        <f t="shared" si="30"/>
        <v>17</v>
      </c>
      <c r="BU18" s="707">
        <f t="shared" si="31"/>
        <v>14.137254901960784</v>
      </c>
      <c r="BV18" s="708">
        <f t="shared" ca="1" si="32"/>
        <v>40</v>
      </c>
      <c r="BW18" s="708">
        <f t="shared" ca="1" si="33"/>
        <v>11</v>
      </c>
      <c r="BX18" t="str">
        <f t="shared" si="34"/>
        <v>BOULAIRE Emile</v>
      </c>
      <c r="BY18" s="709">
        <v>3</v>
      </c>
      <c r="BZ18" s="710" t="s">
        <v>518</v>
      </c>
      <c r="CA18" s="711" t="s">
        <v>519</v>
      </c>
      <c r="CB18" s="709">
        <v>7</v>
      </c>
      <c r="CC18" s="712" t="s">
        <v>520</v>
      </c>
      <c r="CD18" s="709" t="s">
        <v>521</v>
      </c>
      <c r="CE18" s="591" t="e">
        <f t="shared" si="35"/>
        <v>#N/A</v>
      </c>
      <c r="CF18" s="561"/>
      <c r="CG18" s="561"/>
      <c r="CH18" s="561"/>
      <c r="CI18" s="714"/>
      <c r="CK18" s="715">
        <f t="shared" si="36"/>
        <v>27</v>
      </c>
      <c r="CL18" s="591">
        <f t="shared" si="17"/>
        <v>0</v>
      </c>
      <c r="CM18" s="716">
        <f t="shared" si="18"/>
        <v>-9.5000000000027285E-2</v>
      </c>
      <c r="CN18" s="716">
        <f t="shared" si="18"/>
        <v>6</v>
      </c>
      <c r="CO18" s="716">
        <f t="shared" si="18"/>
        <v>12</v>
      </c>
      <c r="CP18" s="716">
        <f t="shared" si="18"/>
        <v>-29</v>
      </c>
      <c r="CQ18" s="716">
        <f t="shared" si="18"/>
        <v>27</v>
      </c>
      <c r="CR18" s="716">
        <f t="shared" si="18"/>
        <v>-1</v>
      </c>
      <c r="CS18" s="716">
        <f t="shared" si="18"/>
        <v>0</v>
      </c>
      <c r="CT18" s="716">
        <f t="shared" si="18"/>
        <v>4</v>
      </c>
      <c r="CU18" s="716">
        <f t="shared" si="18"/>
        <v>-9.9999999999909051E-2</v>
      </c>
      <c r="CV18" s="717" t="str">
        <f t="shared" si="37"/>
        <v>faux</v>
      </c>
      <c r="CW18" s="718">
        <f>IF(E18=0,"",VLOOKUP(B18,[10]liste!AU:BD,10,FALSE))</f>
        <v>2</v>
      </c>
      <c r="CX18" s="719">
        <f t="shared" si="19"/>
        <v>1758.9</v>
      </c>
      <c r="CY18" s="720">
        <f t="shared" si="38"/>
        <v>17</v>
      </c>
      <c r="CZ18" s="721"/>
      <c r="DA18" s="721"/>
      <c r="DB18" s="719"/>
      <c r="DC18" s="722" t="str">
        <f t="shared" ca="1" si="20"/>
        <v/>
      </c>
      <c r="DE18" s="723">
        <f t="shared" si="21"/>
        <v>1740.095</v>
      </c>
      <c r="DF18" s="723">
        <f t="shared" si="22"/>
        <v>1758.9</v>
      </c>
      <c r="DG18" s="697" t="str">
        <f t="shared" si="23"/>
        <v>Flégeau Matthieu</v>
      </c>
      <c r="DH18" s="724">
        <f t="shared" si="24"/>
        <v>1</v>
      </c>
      <c r="DI18" s="724">
        <f t="shared" si="39"/>
        <v>2</v>
      </c>
      <c r="DJ18" s="719">
        <f t="shared" si="25"/>
        <v>1729</v>
      </c>
      <c r="DK18" s="719" t="str">
        <f t="shared" si="26"/>
        <v/>
      </c>
      <c r="DL18" s="719" t="str">
        <f t="shared" si="40"/>
        <v/>
      </c>
      <c r="DM18" s="719"/>
      <c r="DN18" s="719"/>
      <c r="DO18" s="719"/>
      <c r="DP18" s="720">
        <f t="shared" si="41"/>
        <v>17</v>
      </c>
      <c r="DQ18" s="591">
        <f ca="1">VLOOKUP(DG18,[10]résultats!$A$2:$DE$70,109,FALSE)</f>
        <v>40</v>
      </c>
      <c r="DR18" s="591">
        <f ca="1">VLOOKUP(DG18,[10]résultats!$A$2:$DG$70,111,FALSE)</f>
        <v>51</v>
      </c>
      <c r="DT18" s="591">
        <f t="shared" si="42"/>
        <v>2</v>
      </c>
      <c r="DU18" s="591">
        <f t="shared" si="43"/>
        <v>2</v>
      </c>
    </row>
    <row r="19" spans="1:125" s="591" customFormat="1" ht="23.1" customHeight="1">
      <c r="A19" s="308">
        <f t="shared" si="9"/>
        <v>4</v>
      </c>
      <c r="B19" s="297" t="str">
        <f>IF(E19=0,"",VLOOKUP(E19,[10]liste!AM:AN,2,FALSE))</f>
        <v>Couture Nicolas</v>
      </c>
      <c r="C19" s="298">
        <f>IF(E19=0,"",VLOOKUP(B19,[10]liste!AN:AP,3,FALSE))</f>
        <v>15</v>
      </c>
      <c r="D19" s="691">
        <f t="shared" si="10"/>
        <v>15</v>
      </c>
      <c r="E19" s="692">
        <f>LARGE([10]liste!AM:AM,4)</f>
        <v>1546.0830000000001</v>
      </c>
      <c r="F19" s="693">
        <v>1564</v>
      </c>
      <c r="G19" s="693">
        <v>1559</v>
      </c>
      <c r="H19" s="693">
        <v>1554</v>
      </c>
      <c r="I19" s="692">
        <v>1547</v>
      </c>
      <c r="J19" s="693">
        <v>1556</v>
      </c>
      <c r="K19" s="693">
        <v>1564.1</v>
      </c>
      <c r="L19" s="693">
        <v>1586</v>
      </c>
      <c r="M19" s="692">
        <v>1585</v>
      </c>
      <c r="N19" s="692">
        <v>1577</v>
      </c>
      <c r="O19" s="694"/>
      <c r="P19" s="695">
        <f t="shared" ca="1" si="11"/>
        <v>-8</v>
      </c>
      <c r="Q19" s="170">
        <f t="shared" si="12"/>
        <v>30.916999999999916</v>
      </c>
      <c r="R19" s="696">
        <f ca="1">IF(U19&lt;MAX(U$16:U$81)/6.2,"NS",IF(B19="",0,VLOOKUP(B19,[10]résultats!AX:DH,63,FALSE)))</f>
        <v>0.7255158559086381</v>
      </c>
      <c r="S19" s="697" t="str">
        <f t="shared" si="13"/>
        <v>Couture Nicolas</v>
      </c>
      <c r="T19" s="171">
        <f t="shared" ca="1" si="14"/>
        <v>37</v>
      </c>
      <c r="U19" s="172">
        <f t="shared" ca="1" si="14"/>
        <v>51</v>
      </c>
      <c r="V19" s="292">
        <f ca="1">IF(B19="",0,HLOOKUP(B19&amp;"a",[11]Feuil1!$A$27:$FX$48,20,FALSE)+RAND()*0.0001)</f>
        <v>5.0000334317821524</v>
      </c>
      <c r="W19" s="293">
        <f ca="1">IF(B19="",0,HLOOKUP(B19&amp;"a",[11]Feuil1!$A$27:$FX$48,21,FALSE))+RAND()*0.0001</f>
        <v>5.0000609804957623</v>
      </c>
      <c r="X19" s="725">
        <f t="shared" si="27"/>
        <v>1390</v>
      </c>
      <c r="Y19" s="701">
        <f t="shared" si="15"/>
        <v>1586</v>
      </c>
      <c r="Z19" s="606">
        <f>'[10] joueur de l''année'!Z42</f>
        <v>4</v>
      </c>
      <c r="AA19" s="963" t="str">
        <f ca="1">'[10] joueur de l''année'!AA42</f>
        <v>Zaragoza</v>
      </c>
      <c r="AB19" s="1150">
        <f ca="1">'[10] joueur de l''année'!AC42</f>
        <v>34.941956424108845</v>
      </c>
      <c r="AC19" s="554"/>
      <c r="AD19" s="175" t="str">
        <f ca="1">'[10] joueur de l''année'!AA21</f>
        <v>Flégeau Matthieu</v>
      </c>
      <c r="AE19" s="302">
        <f ca="1">IF(AD19=0,"",VLOOKUP(AD19,'[10] joueur de l''année'!$A$3:$T$100,19,FALSE))</f>
        <v>46.544189753701346</v>
      </c>
      <c r="AF19" s="561"/>
      <c r="AH19" s="703" t="str">
        <f ca="1">[10]cal.Ph1!P4</f>
        <v>Tournoi de rentrée</v>
      </c>
      <c r="AI19" s="704">
        <f ca="1">[10]cal.Ph1!O4</f>
        <v>42259.000000938366</v>
      </c>
      <c r="AJ19" s="677"/>
      <c r="AK19" s="677">
        <f t="shared" si="28"/>
        <v>50</v>
      </c>
      <c r="AL19" s="705" t="str">
        <f t="shared" si="16"/>
        <v>Couture Nicolas</v>
      </c>
      <c r="AM19" s="706">
        <f>IF(OR(HLOOKUP($AL19&amp;"a",[11]Feuil1!$A$27:$EP$48,3,FALSE)=FALSE,HLOOKUP($AL19&amp;"a",[11]Feuil1!$A$27:$EP$48,3,FALSE)=""),0,HLOOKUP($AL19&amp;"a",[11]Feuil1!$A$27:$EP$48,3,FALSE))</f>
        <v>1</v>
      </c>
      <c r="AN19" s="706">
        <f>IF(HLOOKUP($AL19&amp;"aa",[11]Feuil1!$A$27:$EP$48,3,FALSE)=FALSE,0,HLOOKUP($AL19&amp;"aa",[11]Feuil1!$A$27:$EP$48,3,FALSE))</f>
        <v>0</v>
      </c>
      <c r="AO19" s="706">
        <f>IF(OR(HLOOKUP($AL19&amp;"a",[11]Feuil1!$A$27:$EP$48,4,FALSE)=FALSE,HLOOKUP($AL19&amp;"a",[11]Feuil1!$A$27:$EP$48,4,FALSE)=""),0,HLOOKUP($AL19&amp;"a",[11]Feuil1!$A$27:$EP$48,4,FALSE))</f>
        <v>0</v>
      </c>
      <c r="AP19" s="706">
        <f>IF(HLOOKUP($AL19&amp;"aa",[11]Feuil1!$A$27:$EP$48,4,FALSE)=FALSE,0,HLOOKUP($AL19&amp;"aa",[11]Feuil1!$A$27:$EP$48,4,FALSE))</f>
        <v>0</v>
      </c>
      <c r="AQ19" s="706">
        <f>IF(OR(HLOOKUP($AL19&amp;"a",[11]Feuil1!$A$27:$EP$48,5,FALSE)=FALSE,HLOOKUP($AL19&amp;"a",[11]Feuil1!$A$27:$EP$48,5,FALSE)=""),0,HLOOKUP($AL19&amp;"a",[11]Feuil1!$A$27:$EP$48,5,FALSE))</f>
        <v>1</v>
      </c>
      <c r="AR19" s="706">
        <f>IF(HLOOKUP($AL19&amp;"aa",[11]Feuil1!$A$27:$EP$48,5,FALSE)=FALSE,0,HLOOKUP($AL19&amp;"aa",[11]Feuil1!$A$27:$EP$48,5,FALSE))</f>
        <v>0</v>
      </c>
      <c r="AS19" s="706">
        <f>IF(OR(HLOOKUP($AL19&amp;"a",[11]Feuil1!$A$27:$EP$48,6,FALSE)=FALSE,HLOOKUP($AL19&amp;"a",[11]Feuil1!$A$27:$EP$48,6,FALSE)=""),0,HLOOKUP($AL19&amp;"a",[11]Feuil1!$A$27:$EP$48,6,FALSE))</f>
        <v>2</v>
      </c>
      <c r="AT19" s="706">
        <f>IF(HLOOKUP($AL19&amp;"aa",[11]Feuil1!$A$27:$EP$48,6,FALSE)=FALSE,0,HLOOKUP($AL19&amp;"aa",[11]Feuil1!$A$27:$EP$48,6,FALSE))</f>
        <v>0</v>
      </c>
      <c r="AU19" s="706">
        <f>IF(OR(HLOOKUP($AL19&amp;"a",[11]Feuil1!$A$27:$EP$48,7,FALSE)=FALSE,HLOOKUP($AL19&amp;"a",[11]Feuil1!$A$27:$EP$48,7,FALSE)=""),0,HLOOKUP($AL19&amp;"a",[11]Feuil1!$A$27:$EP$48,7,FALSE))</f>
        <v>0</v>
      </c>
      <c r="AV19" s="706">
        <f>IF(HLOOKUP($AL19&amp;"aa",[11]Feuil1!$A$27:$EP$48,7,FALSE)=FALSE,0,HLOOKUP($AL19&amp;"aa",[11]Feuil1!$A$27:$EP$48,7,FALSE))</f>
        <v>0</v>
      </c>
      <c r="AW19" s="706">
        <f>IF(OR(HLOOKUP($AL19&amp;"a",[11]Feuil1!$A$27:$EP$48,8,FALSE)=FALSE,HLOOKUP($AL19&amp;"a",[11]Feuil1!$A$27:$EP$48,8,FALSE)=""),0,HLOOKUP($AL19&amp;"a",[11]Feuil1!$A$27:$EP$48,8,FALSE))</f>
        <v>1</v>
      </c>
      <c r="AX19" s="706">
        <f>IF(HLOOKUP($AL19&amp;"aa",[11]Feuil1!$A$27:$EP$48,8,FALSE)=FALSE,0,HLOOKUP($AL19&amp;"aa",[11]Feuil1!$A$27:$EP$48,8,FALSE))</f>
        <v>0</v>
      </c>
      <c r="AY19" s="706">
        <f>IF(OR(HLOOKUP($AL19&amp;"a",[11]Feuil1!$A$27:$EP$48,9,FALSE)=FALSE,HLOOKUP($AL19&amp;"a",[11]Feuil1!$A$27:$EP$48,9,FALSE)=""),0,HLOOKUP($AL19&amp;"a",[11]Feuil1!$A$27:$EP$48,9,FALSE))</f>
        <v>5</v>
      </c>
      <c r="AZ19" s="706">
        <f>IF(HLOOKUP($AL19&amp;"aa",[11]Feuil1!$A$27:$EP$48,9,FALSE)=FALSE,0,HLOOKUP($AL19&amp;"aa",[11]Feuil1!$A$27:$EP$48,9,FALSE))</f>
        <v>0</v>
      </c>
      <c r="BA19" s="706">
        <f>IF(OR(HLOOKUP($AL19&amp;"a",[11]Feuil1!$A$27:$EP$48,10,FALSE)=FALSE,HLOOKUP($AL19&amp;"a",[11]Feuil1!$A$27:$EP$48,10,FALSE)=""),0,HLOOKUP($AL19&amp;"a",[11]Feuil1!$A$27:$EP$48,10,FALSE))</f>
        <v>1</v>
      </c>
      <c r="BB19" s="706">
        <f>IF(HLOOKUP($AL19&amp;"aa",[11]Feuil1!$A$27:$EP$48,10,FALSE)=FALSE,0,HLOOKUP($AL19&amp;"aa",[11]Feuil1!$A$27:$EP$48,10,FALSE))</f>
        <v>0</v>
      </c>
      <c r="BC19" s="706">
        <f>IF(OR(HLOOKUP($AL19&amp;"a",[11]Feuil1!$A$27:$EP$48,11,FALSE)=FALSE,HLOOKUP($AL19&amp;"a",[11]Feuil1!$A$27:$EP$48,11,FALSE)=""),0,HLOOKUP($AL19&amp;"a",[11]Feuil1!$A$27:$EP$48,11,FALSE))</f>
        <v>12</v>
      </c>
      <c r="BD19" s="706">
        <f>IF(HLOOKUP($AL19&amp;"aa",[11]Feuil1!$A$27:$EP$48,11,FALSE)=FALSE,0,HLOOKUP($AL19&amp;"aa",[11]Feuil1!$A$27:$EP$48,11,FALSE))</f>
        <v>1</v>
      </c>
      <c r="BE19" s="706">
        <f>IF(OR(HLOOKUP($AL19&amp;"a",[11]Feuil1!$A$27:$EP$48,12,FALSE)=FALSE,HLOOKUP($AL19&amp;"a",[11]Feuil1!$A$27:$EP$48,12,FALSE)=""),0,HLOOKUP($AL19&amp;"a",[11]Feuil1!$A$27:$EP$48,12,FALSE))</f>
        <v>6</v>
      </c>
      <c r="BF19" s="706">
        <f>IF(HLOOKUP($AL19&amp;"aa",[11]Feuil1!$A$27:$EP$48,12,FALSE)=FALSE,0,HLOOKUP($AL19&amp;"aa",[11]Feuil1!$A$27:$EP$48,12,FALSE))</f>
        <v>1</v>
      </c>
      <c r="BG19" s="706">
        <f>IF(OR(HLOOKUP($AL19&amp;"a",[11]Feuil1!$A$27:$EP$48,13,FALSE)=FALSE,HLOOKUP($AL19&amp;"a",[11]Feuil1!$A$27:$EP$48,13,FALSE)=""),0,HLOOKUP($AL19&amp;"a",[11]Feuil1!$A$27:$EP$48,13,FALSE))</f>
        <v>4</v>
      </c>
      <c r="BH19" s="706">
        <f>IF(HLOOKUP($AL19&amp;"aa",[11]Feuil1!$A$27:$EP$48,13,FALSE)=FALSE,0,HLOOKUP($AL19&amp;"aa",[11]Feuil1!$A$27:$EP$48,13,FALSE))</f>
        <v>7</v>
      </c>
      <c r="BI19" s="706">
        <f>IF(OR(HLOOKUP($AL19&amp;"a",[11]Feuil1!$A$27:$EP$48,14,FALSE)=FALSE,HLOOKUP($AL19&amp;"a",[11]Feuil1!$A$27:$EP$48,14,FALSE)=""),0,HLOOKUP($AL19&amp;"a",[11]Feuil1!$A$27:$EP$48,14,FALSE))</f>
        <v>2</v>
      </c>
      <c r="BJ19" s="706">
        <f>IF(HLOOKUP($AL19&amp;"aa",[11]Feuil1!$A$27:$EP$48,14,FALSE)=FALSE,0,HLOOKUP($AL19&amp;"aa",[11]Feuil1!$A$27:$EP$48,14,FALSE))</f>
        <v>3</v>
      </c>
      <c r="BK19" s="706">
        <f>IF(OR(HLOOKUP($AL19&amp;"a",[11]Feuil1!$A$27:$EP$48,15,FALSE)=FALSE,HLOOKUP($AL19&amp;"a",[11]Feuil1!$A$27:$EP$48,15,FALSE)=""),0,HLOOKUP($AL19&amp;"a",[11]Feuil1!$A$27:$EP$48,15,FALSE))</f>
        <v>1</v>
      </c>
      <c r="BL19" s="706">
        <f>IF(HLOOKUP($AL19&amp;"aa",[11]Feuil1!$A$27:$EP$48,15,FALSE)=FALSE,0,HLOOKUP($AL19&amp;"aa",[11]Feuil1!$A$27:$EP$48,15,FALSE))</f>
        <v>1</v>
      </c>
      <c r="BM19" s="706">
        <f>IF(OR(HLOOKUP($AL19&amp;"a",[11]Feuil1!$A$27:$EP$48,16,FALSE)=FALSE,HLOOKUP($AL19&amp;"a",[11]Feuil1!$A$27:$EP$48,16,FALSE)=""),0,HLOOKUP($AL19&amp;"a",[11]Feuil1!$A$27:$EP$48,16,FALSE))</f>
        <v>0</v>
      </c>
      <c r="BN19" s="706">
        <f>IF(HLOOKUP($AL19&amp;"aa",[11]Feuil1!$A$27:$EP$48,16,FALSE)=FALSE,0,HLOOKUP($AL19&amp;"aa",[11]Feuil1!$A$27:$EP$48,16,FALSE))</f>
        <v>0</v>
      </c>
      <c r="BO19" s="706">
        <f>IF(OR(HLOOKUP($AL19&amp;"a",[11]Feuil1!$A$27:$EP$48,17,FALSE)=FALSE,HLOOKUP($AL19&amp;"a",[11]Feuil1!$A$27:$EP$48,17,FALSE)=""),0,HLOOKUP($AL19&amp;"a",[11]Feuil1!$A$27:$EP$48,17,FALSE))</f>
        <v>0</v>
      </c>
      <c r="BP19" s="706">
        <f>IF(HLOOKUP($AL19&amp;"aa",[11]Feuil1!$A$27:$EP$48,17,FALSE)=FALSE,0,HLOOKUP($AL19&amp;"aa",[11]Feuil1!$A$27:$EP$48,17,FALSE))</f>
        <v>1</v>
      </c>
      <c r="BQ19" s="706">
        <f>IF(OR(HLOOKUP($AL19&amp;"a",[11]Feuil1!$A$27:$EP$48,18,FALSE)=FALSE,HLOOKUP($AL19&amp;"a",[11]Feuil1!$A$27:$EP$48,18,FALSE)=""),0,HLOOKUP($AL19&amp;"a",[11]Feuil1!$A$27:$EP$48,18,FALSE))</f>
        <v>0</v>
      </c>
      <c r="BR19" s="706">
        <f>IF(HLOOKUP($AL19&amp;"aa",[11]Feuil1!$A$27:$EP$48,18,FALSE)=FALSE,0,HLOOKUP($AL19&amp;"aa",[11]Feuil1!$A$27:$EP$48,18,FALSE))</f>
        <v>0</v>
      </c>
      <c r="BS19" s="707">
        <f t="shared" si="29"/>
        <v>12.611111111111111</v>
      </c>
      <c r="BT19" s="707">
        <f t="shared" si="30"/>
        <v>15.428571428571429</v>
      </c>
      <c r="BU19" s="707">
        <f t="shared" si="31"/>
        <v>13.4</v>
      </c>
      <c r="BV19" s="708">
        <f t="shared" ca="1" si="32"/>
        <v>37</v>
      </c>
      <c r="BW19" s="708">
        <f t="shared" ca="1" si="33"/>
        <v>14</v>
      </c>
      <c r="BX19" t="str">
        <f t="shared" si="34"/>
        <v>BOUSSEAU Yannick</v>
      </c>
      <c r="BY19" s="726">
        <v>4</v>
      </c>
      <c r="BZ19" s="727" t="s">
        <v>522</v>
      </c>
      <c r="CA19" s="728" t="s">
        <v>523</v>
      </c>
      <c r="CB19" s="726">
        <v>7</v>
      </c>
      <c r="CC19" s="729" t="s">
        <v>524</v>
      </c>
      <c r="CD19" s="726" t="s">
        <v>525</v>
      </c>
      <c r="CE19" s="591" t="e">
        <f t="shared" si="35"/>
        <v>#N/A</v>
      </c>
      <c r="CF19" s="561"/>
      <c r="CG19" s="561"/>
      <c r="CH19" s="561"/>
      <c r="CI19" s="714"/>
      <c r="CK19" s="715">
        <f t="shared" si="36"/>
        <v>21.900000000000091</v>
      </c>
      <c r="CL19" s="591">
        <f t="shared" si="17"/>
        <v>0</v>
      </c>
      <c r="CM19" s="716">
        <f t="shared" si="18"/>
        <v>17.916999999999916</v>
      </c>
      <c r="CN19" s="716">
        <f t="shared" si="18"/>
        <v>-5</v>
      </c>
      <c r="CO19" s="716">
        <f t="shared" si="18"/>
        <v>-5</v>
      </c>
      <c r="CP19" s="716">
        <f t="shared" si="18"/>
        <v>-7</v>
      </c>
      <c r="CQ19" s="716">
        <f t="shared" si="18"/>
        <v>9</v>
      </c>
      <c r="CR19" s="716">
        <f t="shared" si="18"/>
        <v>8.0999999999999091</v>
      </c>
      <c r="CS19" s="716">
        <f t="shared" si="18"/>
        <v>21.900000000000091</v>
      </c>
      <c r="CT19" s="716">
        <f t="shared" si="18"/>
        <v>-1</v>
      </c>
      <c r="CU19" s="716">
        <f t="shared" si="18"/>
        <v>-8</v>
      </c>
      <c r="CV19" s="717" t="str">
        <f t="shared" si="37"/>
        <v>faux</v>
      </c>
      <c r="CW19" s="718">
        <f>IF(E19=0,"",VLOOKUP(B19,[10]liste!AU:BD,10,FALSE))</f>
        <v>2</v>
      </c>
      <c r="CX19" s="719">
        <f t="shared" si="19"/>
        <v>1577</v>
      </c>
      <c r="CY19" s="720">
        <f t="shared" si="38"/>
        <v>15</v>
      </c>
      <c r="CZ19" s="721"/>
      <c r="DA19" s="721"/>
      <c r="DB19" s="719"/>
      <c r="DC19" s="722" t="str">
        <f t="shared" ca="1" si="20"/>
        <v/>
      </c>
      <c r="DE19" s="723">
        <f t="shared" si="21"/>
        <v>1546.0830000000001</v>
      </c>
      <c r="DF19" s="723">
        <f t="shared" si="22"/>
        <v>1577</v>
      </c>
      <c r="DG19" s="697" t="str">
        <f t="shared" si="23"/>
        <v>Couture Nicolas</v>
      </c>
      <c r="DH19" s="724">
        <f t="shared" si="24"/>
        <v>0</v>
      </c>
      <c r="DI19" s="724">
        <f t="shared" si="39"/>
        <v>2</v>
      </c>
      <c r="DJ19" s="719">
        <f t="shared" si="25"/>
        <v>1547</v>
      </c>
      <c r="DK19" s="719" t="str">
        <f t="shared" si="26"/>
        <v/>
      </c>
      <c r="DL19" s="719" t="str">
        <f t="shared" si="40"/>
        <v/>
      </c>
      <c r="DM19" s="719"/>
      <c r="DN19" s="719"/>
      <c r="DO19" s="719"/>
      <c r="DP19" s="720">
        <f t="shared" si="41"/>
        <v>15</v>
      </c>
      <c r="DQ19" s="591">
        <f ca="1">VLOOKUP(DG19,[10]résultats!$A$2:$DE$70,109,FALSE)</f>
        <v>37</v>
      </c>
      <c r="DR19" s="591">
        <f ca="1">VLOOKUP(DG19,[10]résultats!$A$2:$DG$70,111,FALSE)</f>
        <v>51</v>
      </c>
      <c r="DT19" s="591">
        <f t="shared" si="42"/>
        <v>4</v>
      </c>
      <c r="DU19" s="591">
        <f t="shared" si="43"/>
        <v>4</v>
      </c>
    </row>
    <row r="20" spans="1:125" s="591" customFormat="1" ht="23.1" customHeight="1">
      <c r="A20" s="308">
        <f t="shared" si="9"/>
        <v>5</v>
      </c>
      <c r="B20" s="297" t="str">
        <f>IF(E20=0,"",VLOOKUP(E20,[10]liste!AM:AN,2,FALSE))</f>
        <v>Nicolas Jérémy</v>
      </c>
      <c r="C20" s="298">
        <f>IF(E20=0,"",VLOOKUP(B20,[10]liste!AN:AP,3,FALSE))</f>
        <v>15</v>
      </c>
      <c r="D20" s="691">
        <f t="shared" si="10"/>
        <v>15</v>
      </c>
      <c r="E20" s="692">
        <f>LARGE([10]liste!AM:AM,5)</f>
        <v>1518.09</v>
      </c>
      <c r="F20" s="693">
        <v>1518</v>
      </c>
      <c r="G20" s="693">
        <v>1522</v>
      </c>
      <c r="H20" s="693">
        <v>1524</v>
      </c>
      <c r="I20" s="692">
        <v>1517</v>
      </c>
      <c r="J20" s="693">
        <v>1530</v>
      </c>
      <c r="K20" s="693">
        <v>1519</v>
      </c>
      <c r="L20" s="693">
        <v>1509</v>
      </c>
      <c r="M20" s="692">
        <v>1537</v>
      </c>
      <c r="N20" s="692">
        <v>1536.9</v>
      </c>
      <c r="O20" s="694"/>
      <c r="P20" s="695">
        <f t="shared" ca="1" si="11"/>
        <v>-9.9999999999909051E-2</v>
      </c>
      <c r="Q20" s="170">
        <f t="shared" si="12"/>
        <v>18.810000000000173</v>
      </c>
      <c r="R20" s="696">
        <f ca="1">IF(U20&lt;MAX(U$16:U$81)/6.2,"NS",IF(B20="",0,VLOOKUP(B20,[10]résultats!AX:DH,63,FALSE)))</f>
        <v>0.8334252554246061</v>
      </c>
      <c r="S20" s="697" t="str">
        <f t="shared" si="13"/>
        <v>Nicolas Jérémy</v>
      </c>
      <c r="T20" s="171">
        <f t="shared" ca="1" si="14"/>
        <v>35</v>
      </c>
      <c r="U20" s="172">
        <f t="shared" ca="1" si="14"/>
        <v>42</v>
      </c>
      <c r="V20" s="292">
        <f ca="1">IF(B20="",0,HLOOKUP(B20&amp;"a",[11]Feuil1!$A$27:$FX$48,20,FALSE)+RAND()*0.0001)</f>
        <v>2.0000196704810667</v>
      </c>
      <c r="W20" s="293">
        <f ca="1">IF(B20="",0,HLOOKUP(B20&amp;"a",[11]Feuil1!$A$27:$FX$48,21,FALSE))+RAND()*0.0001</f>
        <v>3.0000815795907974</v>
      </c>
      <c r="X20" s="725">
        <f t="shared" si="27"/>
        <v>1091</v>
      </c>
      <c r="Y20" s="701">
        <f t="shared" si="15"/>
        <v>1537</v>
      </c>
      <c r="Z20" s="606">
        <f>'[10] joueur de l''année'!Z43</f>
        <v>5</v>
      </c>
      <c r="AA20" s="963" t="str">
        <f ca="1">'[10] joueur de l''année'!AA43</f>
        <v>Roszak</v>
      </c>
      <c r="AB20" s="1150">
        <f ca="1">'[10] joueur de l''année'!AC43</f>
        <v>32.181925795467457</v>
      </c>
      <c r="AC20" s="554"/>
      <c r="AD20" s="175" t="str">
        <f ca="1">'[10] joueur de l''année'!AA22</f>
        <v>Couture Nicolas</v>
      </c>
      <c r="AE20" s="302">
        <f ca="1">IF(AD20=0,"",VLOOKUP(AD20,'[10] joueur de l''année'!$A$3:$T$100,19,FALSE))</f>
        <v>44.893997903681907</v>
      </c>
      <c r="AF20" s="561"/>
      <c r="AH20" s="703" t="str">
        <f ca="1">[10]cal.Ph1!P5</f>
        <v xml:space="preserve"> Ass.Gén. 56</v>
      </c>
      <c r="AI20" s="704">
        <f ca="1">[10]cal.Ph1!O5</f>
        <v>42266.000000219632</v>
      </c>
      <c r="AJ20" s="677"/>
      <c r="AK20" s="677">
        <f t="shared" si="28"/>
        <v>39</v>
      </c>
      <c r="AL20" s="705" t="str">
        <f t="shared" si="16"/>
        <v>Nicolas Jérémy</v>
      </c>
      <c r="AM20" s="706">
        <f>IF(OR(HLOOKUP($AL20&amp;"a",[11]Feuil1!$A$27:$EP$48,3,FALSE)=FALSE,HLOOKUP($AL20&amp;"a",[11]Feuil1!$A$27:$EP$48,3,FALSE)=""),0,HLOOKUP($AL20&amp;"a",[11]Feuil1!$A$27:$EP$48,3,FALSE))</f>
        <v>3</v>
      </c>
      <c r="AN20" s="706">
        <f>IF(HLOOKUP($AL20&amp;"aa",[11]Feuil1!$A$27:$EP$48,3,FALSE)=FALSE,0,HLOOKUP($AL20&amp;"aa",[11]Feuil1!$A$27:$EP$48,3,FALSE))</f>
        <v>0</v>
      </c>
      <c r="AO20" s="706">
        <f>IF(OR(HLOOKUP($AL20&amp;"a",[11]Feuil1!$A$27:$EP$48,4,FALSE)=FALSE,HLOOKUP($AL20&amp;"a",[11]Feuil1!$A$27:$EP$48,4,FALSE)=""),0,HLOOKUP($AL20&amp;"a",[11]Feuil1!$A$27:$EP$48,4,FALSE))</f>
        <v>4</v>
      </c>
      <c r="AP20" s="706">
        <f>IF(HLOOKUP($AL20&amp;"aa",[11]Feuil1!$A$27:$EP$48,4,FALSE)=FALSE,0,HLOOKUP($AL20&amp;"aa",[11]Feuil1!$A$27:$EP$48,4,FALSE))</f>
        <v>0</v>
      </c>
      <c r="AQ20" s="706">
        <f>IF(OR(HLOOKUP($AL20&amp;"a",[11]Feuil1!$A$27:$EP$48,5,FALSE)=FALSE,HLOOKUP($AL20&amp;"a",[11]Feuil1!$A$27:$EP$48,5,FALSE)=""),0,HLOOKUP($AL20&amp;"a",[11]Feuil1!$A$27:$EP$48,5,FALSE))</f>
        <v>4</v>
      </c>
      <c r="AR20" s="706">
        <f>IF(HLOOKUP($AL20&amp;"aa",[11]Feuil1!$A$27:$EP$48,5,FALSE)=FALSE,0,HLOOKUP($AL20&amp;"aa",[11]Feuil1!$A$27:$EP$48,5,FALSE))</f>
        <v>0</v>
      </c>
      <c r="AS20" s="706">
        <f>IF(OR(HLOOKUP($AL20&amp;"a",[11]Feuil1!$A$27:$EP$48,6,FALSE)=FALSE,HLOOKUP($AL20&amp;"a",[11]Feuil1!$A$27:$EP$48,6,FALSE)=""),0,HLOOKUP($AL20&amp;"a",[11]Feuil1!$A$27:$EP$48,6,FALSE))</f>
        <v>3</v>
      </c>
      <c r="AT20" s="706">
        <f>IF(HLOOKUP($AL20&amp;"aa",[11]Feuil1!$A$27:$EP$48,6,FALSE)=FALSE,0,HLOOKUP($AL20&amp;"aa",[11]Feuil1!$A$27:$EP$48,6,FALSE))</f>
        <v>0</v>
      </c>
      <c r="AU20" s="706">
        <f>IF(OR(HLOOKUP($AL20&amp;"a",[11]Feuil1!$A$27:$EP$48,7,FALSE)=FALSE,HLOOKUP($AL20&amp;"a",[11]Feuil1!$A$27:$EP$48,7,FALSE)=""),0,HLOOKUP($AL20&amp;"a",[11]Feuil1!$A$27:$EP$48,7,FALSE))</f>
        <v>3</v>
      </c>
      <c r="AV20" s="706">
        <f>IF(HLOOKUP($AL20&amp;"aa",[11]Feuil1!$A$27:$EP$48,7,FALSE)=FALSE,0,HLOOKUP($AL20&amp;"aa",[11]Feuil1!$A$27:$EP$48,7,FALSE))</f>
        <v>0</v>
      </c>
      <c r="AW20" s="706">
        <f>IF(OR(HLOOKUP($AL20&amp;"a",[11]Feuil1!$A$27:$EP$48,8,FALSE)=FALSE,HLOOKUP($AL20&amp;"a",[11]Feuil1!$A$27:$EP$48,8,FALSE)=""),0,HLOOKUP($AL20&amp;"a",[11]Feuil1!$A$27:$EP$48,8,FALSE))</f>
        <v>3</v>
      </c>
      <c r="AX20" s="706">
        <f>IF(HLOOKUP($AL20&amp;"aa",[11]Feuil1!$A$27:$EP$48,8,FALSE)=FALSE,0,HLOOKUP($AL20&amp;"aa",[11]Feuil1!$A$27:$EP$48,8,FALSE))</f>
        <v>0</v>
      </c>
      <c r="AY20" s="706">
        <f>IF(OR(HLOOKUP($AL20&amp;"a",[11]Feuil1!$A$27:$EP$48,9,FALSE)=FALSE,HLOOKUP($AL20&amp;"a",[11]Feuil1!$A$27:$EP$48,9,FALSE)=""),0,HLOOKUP($AL20&amp;"a",[11]Feuil1!$A$27:$EP$48,9,FALSE))</f>
        <v>5</v>
      </c>
      <c r="AZ20" s="706">
        <f>IF(HLOOKUP($AL20&amp;"aa",[11]Feuil1!$A$27:$EP$48,9,FALSE)=FALSE,0,HLOOKUP($AL20&amp;"aa",[11]Feuil1!$A$27:$EP$48,9,FALSE))</f>
        <v>0</v>
      </c>
      <c r="BA20" s="706">
        <f>IF(OR(HLOOKUP($AL20&amp;"a",[11]Feuil1!$A$27:$EP$48,10,FALSE)=FALSE,HLOOKUP($AL20&amp;"a",[11]Feuil1!$A$27:$EP$48,10,FALSE)=""),0,HLOOKUP($AL20&amp;"a",[11]Feuil1!$A$27:$EP$48,10,FALSE))</f>
        <v>0</v>
      </c>
      <c r="BB20" s="706">
        <f>IF(HLOOKUP($AL20&amp;"aa",[11]Feuil1!$A$27:$EP$48,10,FALSE)=FALSE,0,HLOOKUP($AL20&amp;"aa",[11]Feuil1!$A$27:$EP$48,10,FALSE))</f>
        <v>1</v>
      </c>
      <c r="BC20" s="706">
        <f>IF(OR(HLOOKUP($AL20&amp;"a",[11]Feuil1!$A$27:$EP$48,11,FALSE)=FALSE,HLOOKUP($AL20&amp;"a",[11]Feuil1!$A$27:$EP$48,11,FALSE)=""),0,HLOOKUP($AL20&amp;"a",[11]Feuil1!$A$27:$EP$48,11,FALSE))</f>
        <v>4</v>
      </c>
      <c r="BD20" s="706">
        <f>IF(HLOOKUP($AL20&amp;"aa",[11]Feuil1!$A$27:$EP$48,11,FALSE)=FALSE,0,HLOOKUP($AL20&amp;"aa",[11]Feuil1!$A$27:$EP$48,11,FALSE))</f>
        <v>2</v>
      </c>
      <c r="BE20" s="706">
        <f>IF(OR(HLOOKUP($AL20&amp;"a",[11]Feuil1!$A$27:$EP$48,12,FALSE)=FALSE,HLOOKUP($AL20&amp;"a",[11]Feuil1!$A$27:$EP$48,12,FALSE)=""),0,HLOOKUP($AL20&amp;"a",[11]Feuil1!$A$27:$EP$48,12,FALSE))</f>
        <v>1</v>
      </c>
      <c r="BF20" s="706">
        <f>IF(HLOOKUP($AL20&amp;"aa",[11]Feuil1!$A$27:$EP$48,12,FALSE)=FALSE,0,HLOOKUP($AL20&amp;"aa",[11]Feuil1!$A$27:$EP$48,12,FALSE))</f>
        <v>0</v>
      </c>
      <c r="BG20" s="706">
        <f>IF(OR(HLOOKUP($AL20&amp;"a",[11]Feuil1!$A$27:$EP$48,13,FALSE)=FALSE,HLOOKUP($AL20&amp;"a",[11]Feuil1!$A$27:$EP$48,13,FALSE)=""),0,HLOOKUP($AL20&amp;"a",[11]Feuil1!$A$27:$EP$48,13,FALSE))</f>
        <v>1</v>
      </c>
      <c r="BH20" s="706">
        <f>IF(HLOOKUP($AL20&amp;"aa",[11]Feuil1!$A$27:$EP$48,13,FALSE)=FALSE,0,HLOOKUP($AL20&amp;"aa",[11]Feuil1!$A$27:$EP$48,13,FALSE))</f>
        <v>0</v>
      </c>
      <c r="BI20" s="706">
        <f>IF(OR(HLOOKUP($AL20&amp;"a",[11]Feuil1!$A$27:$EP$48,14,FALSE)=FALSE,HLOOKUP($AL20&amp;"a",[11]Feuil1!$A$27:$EP$48,14,FALSE)=""),0,HLOOKUP($AL20&amp;"a",[11]Feuil1!$A$27:$EP$48,14,FALSE))</f>
        <v>1</v>
      </c>
      <c r="BJ20" s="706">
        <f>IF(HLOOKUP($AL20&amp;"aa",[11]Feuil1!$A$27:$EP$48,14,FALSE)=FALSE,0,HLOOKUP($AL20&amp;"aa",[11]Feuil1!$A$27:$EP$48,14,FALSE))</f>
        <v>2</v>
      </c>
      <c r="BK20" s="706">
        <f>IF(OR(HLOOKUP($AL20&amp;"a",[11]Feuil1!$A$27:$EP$48,15,FALSE)=FALSE,HLOOKUP($AL20&amp;"a",[11]Feuil1!$A$27:$EP$48,15,FALSE)=""),0,HLOOKUP($AL20&amp;"a",[11]Feuil1!$A$27:$EP$48,15,FALSE))</f>
        <v>0</v>
      </c>
      <c r="BL20" s="706">
        <f>IF(HLOOKUP($AL20&amp;"aa",[11]Feuil1!$A$27:$EP$48,15,FALSE)=FALSE,0,HLOOKUP($AL20&amp;"aa",[11]Feuil1!$A$27:$EP$48,15,FALSE))</f>
        <v>1</v>
      </c>
      <c r="BM20" s="706">
        <f>IF(OR(HLOOKUP($AL20&amp;"a",[11]Feuil1!$A$27:$EP$48,16,FALSE)=FALSE,HLOOKUP($AL20&amp;"a",[11]Feuil1!$A$27:$EP$48,16,FALSE)=""),0,HLOOKUP($AL20&amp;"a",[11]Feuil1!$A$27:$EP$48,16,FALSE))</f>
        <v>0</v>
      </c>
      <c r="BN20" s="706">
        <f>IF(HLOOKUP($AL20&amp;"aa",[11]Feuil1!$A$27:$EP$48,16,FALSE)=FALSE,0,HLOOKUP($AL20&amp;"aa",[11]Feuil1!$A$27:$EP$48,16,FALSE))</f>
        <v>0</v>
      </c>
      <c r="BO20" s="706">
        <f>IF(OR(HLOOKUP($AL20&amp;"a",[11]Feuil1!$A$27:$EP$48,17,FALSE)=FALSE,HLOOKUP($AL20&amp;"a",[11]Feuil1!$A$27:$EP$48,17,FALSE)=""),0,HLOOKUP($AL20&amp;"a",[11]Feuil1!$A$27:$EP$48,17,FALSE))</f>
        <v>0</v>
      </c>
      <c r="BP20" s="706">
        <f>IF(HLOOKUP($AL20&amp;"aa",[11]Feuil1!$A$27:$EP$48,17,FALSE)=FALSE,0,HLOOKUP($AL20&amp;"aa",[11]Feuil1!$A$27:$EP$48,17,FALSE))</f>
        <v>1</v>
      </c>
      <c r="BQ20" s="706">
        <f>IF(OR(HLOOKUP($AL20&amp;"a",[11]Feuil1!$A$27:$EP$48,18,FALSE)=FALSE,HLOOKUP($AL20&amp;"a",[11]Feuil1!$A$27:$EP$48,18,FALSE)=""),0,HLOOKUP($AL20&amp;"a",[11]Feuil1!$A$27:$EP$48,18,FALSE))</f>
        <v>0</v>
      </c>
      <c r="BR20" s="706">
        <f>IF(HLOOKUP($AL20&amp;"aa",[11]Feuil1!$A$27:$EP$48,18,FALSE)=FALSE,0,HLOOKUP($AL20&amp;"aa",[11]Feuil1!$A$27:$EP$48,18,FALSE))</f>
        <v>0</v>
      </c>
      <c r="BS20" s="707">
        <f t="shared" si="29"/>
        <v>9.375</v>
      </c>
      <c r="BT20" s="707">
        <f t="shared" si="30"/>
        <v>15.142857142857142</v>
      </c>
      <c r="BU20" s="707">
        <f t="shared" si="31"/>
        <v>10.410256410256411</v>
      </c>
      <c r="BV20" s="708">
        <f t="shared" ca="1" si="32"/>
        <v>35</v>
      </c>
      <c r="BW20" s="708">
        <f t="shared" ca="1" si="33"/>
        <v>7</v>
      </c>
      <c r="BX20" t="str">
        <f t="shared" si="34"/>
        <v>BRETON Jean claude</v>
      </c>
      <c r="BY20" s="709">
        <v>5</v>
      </c>
      <c r="BZ20" s="710" t="s">
        <v>526</v>
      </c>
      <c r="CA20" s="711" t="s">
        <v>527</v>
      </c>
      <c r="CB20" s="709">
        <v>6</v>
      </c>
      <c r="CC20" s="712" t="s">
        <v>528</v>
      </c>
      <c r="CD20" s="709" t="s">
        <v>517</v>
      </c>
      <c r="CE20" s="591" t="e">
        <f t="shared" si="35"/>
        <v>#N/A</v>
      </c>
      <c r="CF20" s="561"/>
      <c r="CG20" s="561"/>
      <c r="CH20" s="561"/>
      <c r="CI20" s="714"/>
      <c r="CK20" s="715">
        <f t="shared" si="36"/>
        <v>28</v>
      </c>
      <c r="CL20" s="591">
        <f t="shared" si="17"/>
        <v>0</v>
      </c>
      <c r="CM20" s="716">
        <f t="shared" si="18"/>
        <v>-8.9999999999918145E-2</v>
      </c>
      <c r="CN20" s="716">
        <f t="shared" si="18"/>
        <v>4</v>
      </c>
      <c r="CO20" s="716">
        <f t="shared" si="18"/>
        <v>2</v>
      </c>
      <c r="CP20" s="716">
        <f t="shared" si="18"/>
        <v>-7</v>
      </c>
      <c r="CQ20" s="716">
        <f t="shared" si="18"/>
        <v>13</v>
      </c>
      <c r="CR20" s="716">
        <f t="shared" si="18"/>
        <v>-11</v>
      </c>
      <c r="CS20" s="716">
        <f t="shared" si="18"/>
        <v>-10</v>
      </c>
      <c r="CT20" s="716">
        <f t="shared" si="18"/>
        <v>28</v>
      </c>
      <c r="CU20" s="716">
        <f t="shared" si="18"/>
        <v>-9.9999999999909051E-2</v>
      </c>
      <c r="CV20" s="717" t="str">
        <f t="shared" si="37"/>
        <v>faux</v>
      </c>
      <c r="CW20" s="718">
        <f>IF(E20=0,"",VLOOKUP(B20,[10]liste!AU:BD,10,FALSE))</f>
        <v>2</v>
      </c>
      <c r="CX20" s="719">
        <f t="shared" si="19"/>
        <v>1536.9</v>
      </c>
      <c r="CY20" s="720">
        <f t="shared" si="38"/>
        <v>15</v>
      </c>
      <c r="CZ20" s="721"/>
      <c r="DA20" s="721"/>
      <c r="DB20" s="719"/>
      <c r="DC20" s="722" t="str">
        <f t="shared" ca="1" si="20"/>
        <v/>
      </c>
      <c r="DE20" s="723">
        <f t="shared" si="21"/>
        <v>1518.09</v>
      </c>
      <c r="DF20" s="723">
        <f t="shared" si="22"/>
        <v>1536.9</v>
      </c>
      <c r="DG20" s="697" t="str">
        <f t="shared" si="23"/>
        <v>Nicolas Jérémy</v>
      </c>
      <c r="DH20" s="724">
        <f t="shared" si="24"/>
        <v>0</v>
      </c>
      <c r="DI20" s="724">
        <f t="shared" si="39"/>
        <v>2</v>
      </c>
      <c r="DJ20" s="719">
        <f t="shared" si="25"/>
        <v>1517</v>
      </c>
      <c r="DK20" s="719" t="str">
        <f t="shared" si="26"/>
        <v/>
      </c>
      <c r="DL20" s="719" t="str">
        <f t="shared" si="40"/>
        <v/>
      </c>
      <c r="DM20" s="719"/>
      <c r="DN20" s="719"/>
      <c r="DO20" s="719"/>
      <c r="DP20" s="720">
        <f t="shared" si="41"/>
        <v>15</v>
      </c>
      <c r="DQ20" s="591">
        <f ca="1">VLOOKUP(DG20,[10]résultats!$A$2:$DE$70,109,FALSE)</f>
        <v>35</v>
      </c>
      <c r="DR20" s="591">
        <f ca="1">VLOOKUP(DG20,[10]résultats!$A$2:$DG$70,111,FALSE)</f>
        <v>42</v>
      </c>
      <c r="DT20" s="591">
        <f t="shared" si="42"/>
        <v>5</v>
      </c>
      <c r="DU20" s="591">
        <f t="shared" si="43"/>
        <v>5</v>
      </c>
    </row>
    <row r="21" spans="1:125" s="591" customFormat="1" ht="23.1" customHeight="1">
      <c r="A21" s="308">
        <f t="shared" si="9"/>
        <v>6</v>
      </c>
      <c r="B21" s="297" t="str">
        <f>IF(E21=0,"",VLOOKUP(E21,[10]liste!AM:AN,2,FALSE))</f>
        <v>Roszak Clément</v>
      </c>
      <c r="C21" s="298">
        <f>IF(E21=0,"",VLOOKUP(B21,[10]liste!AN:AP,3,FALSE))</f>
        <v>14</v>
      </c>
      <c r="D21" s="691">
        <f t="shared" si="10"/>
        <v>14</v>
      </c>
      <c r="E21" s="692">
        <f>LARGE([10]liste!AM:AM,6)</f>
        <v>1426.087</v>
      </c>
      <c r="F21" s="693">
        <v>1443</v>
      </c>
      <c r="G21" s="693">
        <v>1438</v>
      </c>
      <c r="H21" s="693">
        <v>1424</v>
      </c>
      <c r="I21" s="692">
        <v>1404</v>
      </c>
      <c r="J21" s="693">
        <v>1410</v>
      </c>
      <c r="K21" s="693">
        <v>1418</v>
      </c>
      <c r="L21" s="693">
        <v>1436</v>
      </c>
      <c r="M21" s="692">
        <v>1428</v>
      </c>
      <c r="N21" s="692">
        <v>1427.9</v>
      </c>
      <c r="O21" s="694"/>
      <c r="P21" s="695">
        <f t="shared" ca="1" si="11"/>
        <v>-9.9999999999909051E-2</v>
      </c>
      <c r="Q21" s="170">
        <f t="shared" si="12"/>
        <v>1.8130000000001019</v>
      </c>
      <c r="R21" s="696">
        <f ca="1">IF(U21&lt;MAX(U$16:U$81)/6.2,"NS",IF(B21="",0,VLOOKUP(B21,[10]résultats!AX:DH,63,FALSE)))</f>
        <v>0.80002519170449704</v>
      </c>
      <c r="S21" s="697" t="str">
        <f t="shared" si="13"/>
        <v>Roszak Clément</v>
      </c>
      <c r="T21" s="171">
        <f t="shared" ca="1" si="14"/>
        <v>28</v>
      </c>
      <c r="U21" s="172">
        <f t="shared" ca="1" si="14"/>
        <v>35</v>
      </c>
      <c r="V21" s="292">
        <f ca="1">IF(B21="",0,HLOOKUP(B21&amp;"a",[11]Feuil1!$A$27:$FX$48,20,FALSE)+RAND()*0.0001)</f>
        <v>3.0000214538510952</v>
      </c>
      <c r="W21" s="293">
        <f ca="1">IF(B21="",0,HLOOKUP(B21&amp;"a",[11]Feuil1!$A$27:$FX$48,21,FALSE))+RAND()*0.0001</f>
        <v>5.0000612523888108</v>
      </c>
      <c r="X21" s="725">
        <f t="shared" si="27"/>
        <v>1124</v>
      </c>
      <c r="Y21" s="701">
        <f t="shared" si="15"/>
        <v>1443</v>
      </c>
      <c r="Z21" s="606">
        <f>'[10] joueur de l''année'!Z44</f>
        <v>6</v>
      </c>
      <c r="AA21" s="963" t="str">
        <f ca="1">'[10] joueur de l''année'!AA44</f>
        <v>Vilain</v>
      </c>
      <c r="AB21" s="1150">
        <f ca="1">'[10] joueur de l''année'!AC44</f>
        <v>24.824304872321378</v>
      </c>
      <c r="AC21" s="730"/>
      <c r="AD21" s="175" t="str">
        <f ca="1">'[10] joueur de l''année'!AA23</f>
        <v>Le Garnec Sacha</v>
      </c>
      <c r="AE21" s="302">
        <f ca="1">IF(AD21=0,"",VLOOKUP(AD21,'[10] joueur de l''année'!$A$3:$T$100,19,FALSE))</f>
        <v>44.552321463648852</v>
      </c>
      <c r="AF21" s="561"/>
      <c r="AH21" s="703" t="str">
        <f ca="1">[10]cal.Ph1!P6</f>
        <v>comité directeur</v>
      </c>
      <c r="AI21" s="704">
        <f ca="1">[10]cal.Ph1!O6</f>
        <v>42269.000000137588</v>
      </c>
      <c r="AJ21" s="677"/>
      <c r="AK21" s="677">
        <f t="shared" si="28"/>
        <v>35</v>
      </c>
      <c r="AL21" s="705" t="str">
        <f t="shared" si="16"/>
        <v>Roszak Clément</v>
      </c>
      <c r="AM21" s="706">
        <f>IF(OR(HLOOKUP($AL21&amp;"a",[11]Feuil1!$A$27:$EP$48,3,FALSE)=FALSE,HLOOKUP($AL21&amp;"a",[11]Feuil1!$A$27:$EP$48,3,FALSE)=""),0,HLOOKUP($AL21&amp;"a",[11]Feuil1!$A$27:$EP$48,3,FALSE))</f>
        <v>3</v>
      </c>
      <c r="AN21" s="706">
        <f>IF(HLOOKUP($AL21&amp;"aa",[11]Feuil1!$A$27:$EP$48,3,FALSE)=FALSE,0,HLOOKUP($AL21&amp;"aa",[11]Feuil1!$A$27:$EP$48,3,FALSE))</f>
        <v>0</v>
      </c>
      <c r="AO21" s="706">
        <f>IF(OR(HLOOKUP($AL21&amp;"a",[11]Feuil1!$A$27:$EP$48,4,FALSE)=FALSE,HLOOKUP($AL21&amp;"a",[11]Feuil1!$A$27:$EP$48,4,FALSE)=""),0,HLOOKUP($AL21&amp;"a",[11]Feuil1!$A$27:$EP$48,4,FALSE))</f>
        <v>1</v>
      </c>
      <c r="AP21" s="706">
        <f>IF(HLOOKUP($AL21&amp;"aa",[11]Feuil1!$A$27:$EP$48,4,FALSE)=FALSE,0,HLOOKUP($AL21&amp;"aa",[11]Feuil1!$A$27:$EP$48,4,FALSE))</f>
        <v>0</v>
      </c>
      <c r="AQ21" s="706">
        <f>IF(OR(HLOOKUP($AL21&amp;"a",[11]Feuil1!$A$27:$EP$48,5,FALSE)=FALSE,HLOOKUP($AL21&amp;"a",[11]Feuil1!$A$27:$EP$48,5,FALSE)=""),0,HLOOKUP($AL21&amp;"a",[11]Feuil1!$A$27:$EP$48,5,FALSE))</f>
        <v>0</v>
      </c>
      <c r="AR21" s="706">
        <f>IF(HLOOKUP($AL21&amp;"aa",[11]Feuil1!$A$27:$EP$48,5,FALSE)=FALSE,0,HLOOKUP($AL21&amp;"aa",[11]Feuil1!$A$27:$EP$48,5,FALSE))</f>
        <v>0</v>
      </c>
      <c r="AS21" s="706">
        <f>IF(OR(HLOOKUP($AL21&amp;"a",[11]Feuil1!$A$27:$EP$48,6,FALSE)=FALSE,HLOOKUP($AL21&amp;"a",[11]Feuil1!$A$27:$EP$48,6,FALSE)=""),0,HLOOKUP($AL21&amp;"a",[11]Feuil1!$A$27:$EP$48,6,FALSE))</f>
        <v>3</v>
      </c>
      <c r="AT21" s="706">
        <f>IF(HLOOKUP($AL21&amp;"aa",[11]Feuil1!$A$27:$EP$48,6,FALSE)=FALSE,0,HLOOKUP($AL21&amp;"aa",[11]Feuil1!$A$27:$EP$48,6,FALSE))</f>
        <v>0</v>
      </c>
      <c r="AU21" s="706">
        <f>IF(OR(HLOOKUP($AL21&amp;"a",[11]Feuil1!$A$27:$EP$48,7,FALSE)=FALSE,HLOOKUP($AL21&amp;"a",[11]Feuil1!$A$27:$EP$48,7,FALSE)=""),0,HLOOKUP($AL21&amp;"a",[11]Feuil1!$A$27:$EP$48,7,FALSE))</f>
        <v>1</v>
      </c>
      <c r="AV21" s="706">
        <f>IF(HLOOKUP($AL21&amp;"aa",[11]Feuil1!$A$27:$EP$48,7,FALSE)=FALSE,0,HLOOKUP($AL21&amp;"aa",[11]Feuil1!$A$27:$EP$48,7,FALSE))</f>
        <v>0</v>
      </c>
      <c r="AW21" s="706">
        <f>IF(OR(HLOOKUP($AL21&amp;"a",[11]Feuil1!$A$27:$EP$48,8,FALSE)=FALSE,HLOOKUP($AL21&amp;"a",[11]Feuil1!$A$27:$EP$48,8,FALSE)=""),0,HLOOKUP($AL21&amp;"a",[11]Feuil1!$A$27:$EP$48,8,FALSE))</f>
        <v>8</v>
      </c>
      <c r="AX21" s="706">
        <f>IF(HLOOKUP($AL21&amp;"aa",[11]Feuil1!$A$27:$EP$48,8,FALSE)=FALSE,0,HLOOKUP($AL21&amp;"aa",[11]Feuil1!$A$27:$EP$48,8,FALSE))</f>
        <v>0</v>
      </c>
      <c r="AY21" s="706">
        <f>IF(OR(HLOOKUP($AL21&amp;"a",[11]Feuil1!$A$27:$EP$48,9,FALSE)=FALSE,HLOOKUP($AL21&amp;"a",[11]Feuil1!$A$27:$EP$48,9,FALSE)=""),0,HLOOKUP($AL21&amp;"a",[11]Feuil1!$A$27:$EP$48,9,FALSE))</f>
        <v>4</v>
      </c>
      <c r="AZ21" s="706">
        <f>IF(HLOOKUP($AL21&amp;"aa",[11]Feuil1!$A$27:$EP$48,9,FALSE)=FALSE,0,HLOOKUP($AL21&amp;"aa",[11]Feuil1!$A$27:$EP$48,9,FALSE))</f>
        <v>1</v>
      </c>
      <c r="BA21" s="706">
        <f>IF(OR(HLOOKUP($AL21&amp;"a",[11]Feuil1!$A$27:$EP$48,10,FALSE)=FALSE,HLOOKUP($AL21&amp;"a",[11]Feuil1!$A$27:$EP$48,10,FALSE)=""),0,HLOOKUP($AL21&amp;"a",[11]Feuil1!$A$27:$EP$48,10,FALSE))</f>
        <v>4</v>
      </c>
      <c r="BB21" s="706">
        <f>IF(HLOOKUP($AL21&amp;"aa",[11]Feuil1!$A$27:$EP$48,10,FALSE)=FALSE,0,HLOOKUP($AL21&amp;"aa",[11]Feuil1!$A$27:$EP$48,10,FALSE))</f>
        <v>0</v>
      </c>
      <c r="BC21" s="706">
        <f>IF(OR(HLOOKUP($AL21&amp;"a",[11]Feuil1!$A$27:$EP$48,11,FALSE)=FALSE,HLOOKUP($AL21&amp;"a",[11]Feuil1!$A$27:$EP$48,11,FALSE)=""),0,HLOOKUP($AL21&amp;"a",[11]Feuil1!$A$27:$EP$48,11,FALSE))</f>
        <v>1</v>
      </c>
      <c r="BD21" s="706">
        <f>IF(HLOOKUP($AL21&amp;"aa",[11]Feuil1!$A$27:$EP$48,11,FALSE)=FALSE,0,HLOOKUP($AL21&amp;"aa",[11]Feuil1!$A$27:$EP$48,11,FALSE))</f>
        <v>4</v>
      </c>
      <c r="BE21" s="706">
        <f>IF(OR(HLOOKUP($AL21&amp;"a",[11]Feuil1!$A$27:$EP$48,12,FALSE)=FALSE,HLOOKUP($AL21&amp;"a",[11]Feuil1!$A$27:$EP$48,12,FALSE)=""),0,HLOOKUP($AL21&amp;"a",[11]Feuil1!$A$27:$EP$48,12,FALSE))</f>
        <v>2</v>
      </c>
      <c r="BF21" s="706">
        <f>IF(HLOOKUP($AL21&amp;"aa",[11]Feuil1!$A$27:$EP$48,12,FALSE)=FALSE,0,HLOOKUP($AL21&amp;"aa",[11]Feuil1!$A$27:$EP$48,12,FALSE))</f>
        <v>1</v>
      </c>
      <c r="BG21" s="706">
        <f>IF(OR(HLOOKUP($AL21&amp;"a",[11]Feuil1!$A$27:$EP$48,13,FALSE)=FALSE,HLOOKUP($AL21&amp;"a",[11]Feuil1!$A$27:$EP$48,13,FALSE)=""),0,HLOOKUP($AL21&amp;"a",[11]Feuil1!$A$27:$EP$48,13,FALSE))</f>
        <v>0</v>
      </c>
      <c r="BH21" s="706">
        <f>IF(HLOOKUP($AL21&amp;"aa",[11]Feuil1!$A$27:$EP$48,13,FALSE)=FALSE,0,HLOOKUP($AL21&amp;"aa",[11]Feuil1!$A$27:$EP$48,13,FALSE))</f>
        <v>0</v>
      </c>
      <c r="BI21" s="706">
        <f>IF(OR(HLOOKUP($AL21&amp;"a",[11]Feuil1!$A$27:$EP$48,14,FALSE)=FALSE,HLOOKUP($AL21&amp;"a",[11]Feuil1!$A$27:$EP$48,14,FALSE)=""),0,HLOOKUP($AL21&amp;"a",[11]Feuil1!$A$27:$EP$48,14,FALSE))</f>
        <v>1</v>
      </c>
      <c r="BJ21" s="706">
        <f>IF(HLOOKUP($AL21&amp;"aa",[11]Feuil1!$A$27:$EP$48,14,FALSE)=FALSE,0,HLOOKUP($AL21&amp;"aa",[11]Feuil1!$A$27:$EP$48,14,FALSE))</f>
        <v>1</v>
      </c>
      <c r="BK21" s="706">
        <f>IF(OR(HLOOKUP($AL21&amp;"a",[11]Feuil1!$A$27:$EP$48,15,FALSE)=FALSE,HLOOKUP($AL21&amp;"a",[11]Feuil1!$A$27:$EP$48,15,FALSE)=""),0,HLOOKUP($AL21&amp;"a",[11]Feuil1!$A$27:$EP$48,15,FALSE))</f>
        <v>0</v>
      </c>
      <c r="BL21" s="706">
        <f>IF(HLOOKUP($AL21&amp;"aa",[11]Feuil1!$A$27:$EP$48,15,FALSE)=FALSE,0,HLOOKUP($AL21&amp;"aa",[11]Feuil1!$A$27:$EP$48,15,FALSE))</f>
        <v>0</v>
      </c>
      <c r="BM21" s="706">
        <f>IF(OR(HLOOKUP($AL21&amp;"a",[11]Feuil1!$A$27:$EP$48,16,FALSE)=FALSE,HLOOKUP($AL21&amp;"a",[11]Feuil1!$A$27:$EP$48,16,FALSE)=""),0,HLOOKUP($AL21&amp;"a",[11]Feuil1!$A$27:$EP$48,16,FALSE))</f>
        <v>0</v>
      </c>
      <c r="BN21" s="706">
        <f>IF(HLOOKUP($AL21&amp;"aa",[11]Feuil1!$A$27:$EP$48,16,FALSE)=FALSE,0,HLOOKUP($AL21&amp;"aa",[11]Feuil1!$A$27:$EP$48,16,FALSE))</f>
        <v>0</v>
      </c>
      <c r="BO21" s="706">
        <f>IF(OR(HLOOKUP($AL21&amp;"a",[11]Feuil1!$A$27:$EP$48,17,FALSE)=FALSE,HLOOKUP($AL21&amp;"a",[11]Feuil1!$A$27:$EP$48,17,FALSE)=""),0,HLOOKUP($AL21&amp;"a",[11]Feuil1!$A$27:$EP$48,17,FALSE))</f>
        <v>0</v>
      </c>
      <c r="BP21" s="706">
        <f>IF(HLOOKUP($AL21&amp;"aa",[11]Feuil1!$A$27:$EP$48,17,FALSE)=FALSE,0,HLOOKUP($AL21&amp;"aa",[11]Feuil1!$A$27:$EP$48,17,FALSE))</f>
        <v>0</v>
      </c>
      <c r="BQ21" s="706">
        <f>IF(OR(HLOOKUP($AL21&amp;"a",[11]Feuil1!$A$27:$EP$48,18,FALSE)=FALSE,HLOOKUP($AL21&amp;"a",[11]Feuil1!$A$27:$EP$48,18,FALSE)=""),0,HLOOKUP($AL21&amp;"a",[11]Feuil1!$A$27:$EP$48,18,FALSE))</f>
        <v>0</v>
      </c>
      <c r="BR21" s="706">
        <f>IF(HLOOKUP($AL21&amp;"aa",[11]Feuil1!$A$27:$EP$48,18,FALSE)=FALSE,0,HLOOKUP($AL21&amp;"aa",[11]Feuil1!$A$27:$EP$48,18,FALSE))</f>
        <v>0</v>
      </c>
      <c r="BS21" s="707">
        <f t="shared" si="29"/>
        <v>10.107142857142858</v>
      </c>
      <c r="BT21" s="707">
        <f t="shared" si="30"/>
        <v>13.285714285714286</v>
      </c>
      <c r="BU21" s="707">
        <f t="shared" si="31"/>
        <v>10.742857142857142</v>
      </c>
      <c r="BV21" s="708">
        <f t="shared" ca="1" si="32"/>
        <v>28</v>
      </c>
      <c r="BW21" s="708">
        <f t="shared" ca="1" si="33"/>
        <v>7</v>
      </c>
      <c r="BX21" t="str">
        <f t="shared" si="34"/>
        <v>BROSSAUD Maxime</v>
      </c>
      <c r="BY21" s="726">
        <v>6</v>
      </c>
      <c r="BZ21" s="727" t="s">
        <v>529</v>
      </c>
      <c r="CA21" s="728" t="s">
        <v>530</v>
      </c>
      <c r="CB21" s="726">
        <v>5</v>
      </c>
      <c r="CC21" s="729" t="s">
        <v>531</v>
      </c>
      <c r="CD21" s="726" t="s">
        <v>532</v>
      </c>
      <c r="CE21" s="591" t="str">
        <f t="shared" si="35"/>
        <v>1337.00</v>
      </c>
      <c r="CF21" s="561"/>
      <c r="CG21" s="561"/>
      <c r="CH21" s="561"/>
      <c r="CI21" s="714"/>
      <c r="CK21" s="715">
        <f t="shared" si="36"/>
        <v>18</v>
      </c>
      <c r="CL21" s="591">
        <f t="shared" si="17"/>
        <v>0</v>
      </c>
      <c r="CM21" s="716">
        <f t="shared" si="18"/>
        <v>16.913000000000011</v>
      </c>
      <c r="CN21" s="716">
        <f t="shared" si="18"/>
        <v>-5</v>
      </c>
      <c r="CO21" s="716">
        <f t="shared" si="18"/>
        <v>-14</v>
      </c>
      <c r="CP21" s="716">
        <f t="shared" si="18"/>
        <v>-20</v>
      </c>
      <c r="CQ21" s="716">
        <f t="shared" si="18"/>
        <v>6</v>
      </c>
      <c r="CR21" s="716">
        <f t="shared" si="18"/>
        <v>8</v>
      </c>
      <c r="CS21" s="716">
        <f t="shared" si="18"/>
        <v>18</v>
      </c>
      <c r="CT21" s="716">
        <f t="shared" si="18"/>
        <v>-8</v>
      </c>
      <c r="CU21" s="716">
        <f t="shared" si="18"/>
        <v>-9.9999999999909051E-2</v>
      </c>
      <c r="CV21" s="717" t="str">
        <f t="shared" si="37"/>
        <v>faux</v>
      </c>
      <c r="CW21" s="718">
        <f>IF(E21=0,"",VLOOKUP(B21,[10]liste!AU:BD,10,FALSE))</f>
        <v>2</v>
      </c>
      <c r="CX21" s="719">
        <f t="shared" si="19"/>
        <v>1427.9</v>
      </c>
      <c r="CY21" s="720">
        <f t="shared" si="38"/>
        <v>14</v>
      </c>
      <c r="CZ21" s="721"/>
      <c r="DA21" s="721"/>
      <c r="DB21" s="719"/>
      <c r="DC21" s="722" t="str">
        <f t="shared" ca="1" si="20"/>
        <v/>
      </c>
      <c r="DE21" s="723">
        <f t="shared" si="21"/>
        <v>1426.087</v>
      </c>
      <c r="DF21" s="723">
        <f t="shared" si="22"/>
        <v>1427.9</v>
      </c>
      <c r="DG21" s="697" t="str">
        <f t="shared" si="23"/>
        <v>Roszak Clément</v>
      </c>
      <c r="DH21" s="724">
        <f t="shared" si="24"/>
        <v>0</v>
      </c>
      <c r="DI21" s="724">
        <f t="shared" si="39"/>
        <v>2</v>
      </c>
      <c r="DJ21" s="719">
        <f t="shared" si="25"/>
        <v>1404</v>
      </c>
      <c r="DK21" s="719" t="str">
        <f t="shared" si="26"/>
        <v/>
      </c>
      <c r="DL21" s="719" t="str">
        <f t="shared" si="40"/>
        <v/>
      </c>
      <c r="DM21" s="719"/>
      <c r="DN21" s="719"/>
      <c r="DO21" s="719"/>
      <c r="DP21" s="720">
        <f t="shared" si="41"/>
        <v>14</v>
      </c>
      <c r="DQ21" s="591">
        <f ca="1">VLOOKUP(DG21,[10]résultats!$A$2:$DE$70,109,FALSE)</f>
        <v>28</v>
      </c>
      <c r="DR21" s="591">
        <f ca="1">VLOOKUP(DG21,[10]résultats!$A$2:$DG$70,111,FALSE)</f>
        <v>35</v>
      </c>
      <c r="DT21" s="591">
        <f t="shared" si="42"/>
        <v>6</v>
      </c>
      <c r="DU21" s="591">
        <f t="shared" si="43"/>
        <v>6</v>
      </c>
    </row>
    <row r="22" spans="1:125" s="591" customFormat="1" ht="23.1" customHeight="1">
      <c r="A22" s="308">
        <f t="shared" si="9"/>
        <v>7</v>
      </c>
      <c r="B22" s="297" t="str">
        <f>IF(E22=0,"",VLOOKUP(E22,[10]liste!AM:AN,2,FALSE))</f>
        <v>Trin Kilian</v>
      </c>
      <c r="C22" s="298">
        <f>IF(E22=0,"",VLOOKUP(B22,[10]liste!AN:AP,3,FALSE))</f>
        <v>14</v>
      </c>
      <c r="D22" s="691">
        <f t="shared" si="10"/>
        <v>14</v>
      </c>
      <c r="E22" s="692">
        <f>LARGE([10]liste!AM:AM,7)</f>
        <v>1409.079</v>
      </c>
      <c r="F22" s="693">
        <v>1409</v>
      </c>
      <c r="G22" s="693">
        <v>1409</v>
      </c>
      <c r="H22" s="693">
        <v>1409</v>
      </c>
      <c r="I22" s="692">
        <v>1400</v>
      </c>
      <c r="J22" s="693">
        <v>1400</v>
      </c>
      <c r="K22" s="693">
        <v>1415</v>
      </c>
      <c r="L22" s="693">
        <v>1414.95</v>
      </c>
      <c r="M22" s="692">
        <v>1415</v>
      </c>
      <c r="N22" s="692">
        <v>1414.9</v>
      </c>
      <c r="O22" s="694"/>
      <c r="P22" s="695">
        <f t="shared" ca="1" si="11"/>
        <v>-9.9999999999909051E-2</v>
      </c>
      <c r="Q22" s="170">
        <f t="shared" si="12"/>
        <v>5.8210000000001401</v>
      </c>
      <c r="R22" s="696" t="str">
        <f ca="1">IF(U22&lt;MAX(U$16:U$81)/6.2,"NS",IF(B22="",0,VLOOKUP(B22,[10]résultats!AX:DH,63,FALSE)))</f>
        <v>NS</v>
      </c>
      <c r="S22" s="697" t="str">
        <f t="shared" si="13"/>
        <v>Trin Kilian</v>
      </c>
      <c r="T22" s="171">
        <f t="shared" ca="1" si="14"/>
        <v>3</v>
      </c>
      <c r="U22" s="172">
        <f t="shared" ca="1" si="14"/>
        <v>6</v>
      </c>
      <c r="V22" s="292">
        <f ca="1">IF(B22="",0,HLOOKUP(B22&amp;"a",[11]Feuil1!$A$27:$FX$48,20,FALSE)+RAND()*0.0001)</f>
        <v>2.0000015768126111</v>
      </c>
      <c r="W22" s="293">
        <f ca="1">IF(B22="",0,HLOOKUP(B22&amp;"a",[11]Feuil1!$A$27:$FX$48,21,FALSE))+RAND()*0.0001</f>
        <v>6.8103748433874387E-5</v>
      </c>
      <c r="X22" s="725">
        <f t="shared" si="27"/>
        <v>1500</v>
      </c>
      <c r="Y22" s="701">
        <f t="shared" si="15"/>
        <v>1415</v>
      </c>
      <c r="Z22" s="606">
        <f>'[10] joueur de l''année'!Z45</f>
        <v>7</v>
      </c>
      <c r="AA22" s="963" t="str">
        <f ca="1">'[10] joueur de l''année'!AA45</f>
        <v>Sail</v>
      </c>
      <c r="AB22" s="1150">
        <f ca="1">'[10] joueur de l''année'!AC45</f>
        <v>23.897420013054475</v>
      </c>
      <c r="AC22" s="730"/>
      <c r="AD22" s="175" t="str">
        <f ca="1">'[10] joueur de l''année'!AA24</f>
        <v>Morin Léa</v>
      </c>
      <c r="AE22" s="302">
        <f ca="1">IF(AD22=0,"",VLOOKUP(AD22,'[10] joueur de l''année'!$A$3:$T$100,19,FALSE))</f>
        <v>42.917215660701544</v>
      </c>
      <c r="AF22" s="561"/>
      <c r="AH22" s="703" t="str">
        <f ca="1">[10]cal.Ph1!P7</f>
        <v>engagement éq. Jeunes:</v>
      </c>
      <c r="AI22" s="704">
        <f ca="1">[10]cal.Ph1!O7</f>
        <v>42273.000000242202</v>
      </c>
      <c r="AJ22" s="677"/>
      <c r="AK22" s="677">
        <f t="shared" si="28"/>
        <v>6</v>
      </c>
      <c r="AL22" s="705" t="str">
        <f t="shared" si="16"/>
        <v>Trin Kilian</v>
      </c>
      <c r="AM22" s="706">
        <f>IF(OR(HLOOKUP($AL22&amp;"a",[11]Feuil1!$A$27:$EP$48,3,FALSE)=FALSE,HLOOKUP($AL22&amp;"a",[11]Feuil1!$A$27:$EP$48,3,FALSE)=""),0,HLOOKUP($AL22&amp;"a",[11]Feuil1!$A$27:$EP$48,3,FALSE))</f>
        <v>0</v>
      </c>
      <c r="AN22" s="706">
        <f>IF(HLOOKUP($AL22&amp;"aa",[11]Feuil1!$A$27:$EP$48,3,FALSE)=FALSE,0,HLOOKUP($AL22&amp;"aa",[11]Feuil1!$A$27:$EP$48,3,FALSE))</f>
        <v>0</v>
      </c>
      <c r="AO22" s="706">
        <f>IF(OR(HLOOKUP($AL22&amp;"a",[11]Feuil1!$A$27:$EP$48,4,FALSE)=FALSE,HLOOKUP($AL22&amp;"a",[11]Feuil1!$A$27:$EP$48,4,FALSE)=""),0,HLOOKUP($AL22&amp;"a",[11]Feuil1!$A$27:$EP$48,4,FALSE))</f>
        <v>0</v>
      </c>
      <c r="AP22" s="706">
        <f>IF(HLOOKUP($AL22&amp;"aa",[11]Feuil1!$A$27:$EP$48,4,FALSE)=FALSE,0,HLOOKUP($AL22&amp;"aa",[11]Feuil1!$A$27:$EP$48,4,FALSE))</f>
        <v>0</v>
      </c>
      <c r="AQ22" s="706">
        <f>IF(OR(HLOOKUP($AL22&amp;"a",[11]Feuil1!$A$27:$EP$48,5,FALSE)=FALSE,HLOOKUP($AL22&amp;"a",[11]Feuil1!$A$27:$EP$48,5,FALSE)=""),0,HLOOKUP($AL22&amp;"a",[11]Feuil1!$A$27:$EP$48,5,FALSE))</f>
        <v>0</v>
      </c>
      <c r="AR22" s="706">
        <f>IF(HLOOKUP($AL22&amp;"aa",[11]Feuil1!$A$27:$EP$48,5,FALSE)=FALSE,0,HLOOKUP($AL22&amp;"aa",[11]Feuil1!$A$27:$EP$48,5,FALSE))</f>
        <v>0</v>
      </c>
      <c r="AS22" s="706">
        <f>IF(OR(HLOOKUP($AL22&amp;"a",[11]Feuil1!$A$27:$EP$48,6,FALSE)=FALSE,HLOOKUP($AL22&amp;"a",[11]Feuil1!$A$27:$EP$48,6,FALSE)=""),0,HLOOKUP($AL22&amp;"a",[11]Feuil1!$A$27:$EP$48,6,FALSE))</f>
        <v>0</v>
      </c>
      <c r="AT22" s="706">
        <f>IF(HLOOKUP($AL22&amp;"aa",[11]Feuil1!$A$27:$EP$48,6,FALSE)=FALSE,0,HLOOKUP($AL22&amp;"aa",[11]Feuil1!$A$27:$EP$48,6,FALSE))</f>
        <v>0</v>
      </c>
      <c r="AU22" s="706">
        <f>IF(OR(HLOOKUP($AL22&amp;"a",[11]Feuil1!$A$27:$EP$48,7,FALSE)=FALSE,HLOOKUP($AL22&amp;"a",[11]Feuil1!$A$27:$EP$48,7,FALSE)=""),0,HLOOKUP($AL22&amp;"a",[11]Feuil1!$A$27:$EP$48,7,FALSE))</f>
        <v>0</v>
      </c>
      <c r="AV22" s="706">
        <f>IF(HLOOKUP($AL22&amp;"aa",[11]Feuil1!$A$27:$EP$48,7,FALSE)=FALSE,0,HLOOKUP($AL22&amp;"aa",[11]Feuil1!$A$27:$EP$48,7,FALSE))</f>
        <v>0</v>
      </c>
      <c r="AW22" s="706">
        <f>IF(OR(HLOOKUP($AL22&amp;"a",[11]Feuil1!$A$27:$EP$48,8,FALSE)=FALSE,HLOOKUP($AL22&amp;"a",[11]Feuil1!$A$27:$EP$48,8,FALSE)=""),0,HLOOKUP($AL22&amp;"a",[11]Feuil1!$A$27:$EP$48,8,FALSE))</f>
        <v>0</v>
      </c>
      <c r="AX22" s="706">
        <f>IF(HLOOKUP($AL22&amp;"aa",[11]Feuil1!$A$27:$EP$48,8,FALSE)=FALSE,0,HLOOKUP($AL22&amp;"aa",[11]Feuil1!$A$27:$EP$48,8,FALSE))</f>
        <v>0</v>
      </c>
      <c r="AY22" s="706">
        <f>IF(OR(HLOOKUP($AL22&amp;"a",[11]Feuil1!$A$27:$EP$48,9,FALSE)=FALSE,HLOOKUP($AL22&amp;"a",[11]Feuil1!$A$27:$EP$48,9,FALSE)=""),0,HLOOKUP($AL22&amp;"a",[11]Feuil1!$A$27:$EP$48,9,FALSE))</f>
        <v>0</v>
      </c>
      <c r="AZ22" s="706">
        <f>IF(HLOOKUP($AL22&amp;"aa",[11]Feuil1!$A$27:$EP$48,9,FALSE)=FALSE,0,HLOOKUP($AL22&amp;"aa",[11]Feuil1!$A$27:$EP$48,9,FALSE))</f>
        <v>0</v>
      </c>
      <c r="BA22" s="706">
        <f>IF(OR(HLOOKUP($AL22&amp;"a",[11]Feuil1!$A$27:$EP$48,10,FALSE)=FALSE,HLOOKUP($AL22&amp;"a",[11]Feuil1!$A$27:$EP$48,10,FALSE)=""),0,HLOOKUP($AL22&amp;"a",[11]Feuil1!$A$27:$EP$48,10,FALSE))</f>
        <v>0</v>
      </c>
      <c r="BB22" s="706">
        <f>IF(HLOOKUP($AL22&amp;"aa",[11]Feuil1!$A$27:$EP$48,10,FALSE)=FALSE,0,HLOOKUP($AL22&amp;"aa",[11]Feuil1!$A$27:$EP$48,10,FALSE))</f>
        <v>0</v>
      </c>
      <c r="BC22" s="706">
        <f>IF(OR(HLOOKUP($AL22&amp;"a",[11]Feuil1!$A$27:$EP$48,11,FALSE)=FALSE,HLOOKUP($AL22&amp;"a",[11]Feuil1!$A$27:$EP$48,11,FALSE)=""),0,HLOOKUP($AL22&amp;"a",[11]Feuil1!$A$27:$EP$48,11,FALSE))</f>
        <v>1</v>
      </c>
      <c r="BD22" s="706">
        <f>IF(HLOOKUP($AL22&amp;"aa",[11]Feuil1!$A$27:$EP$48,11,FALSE)=FALSE,0,HLOOKUP($AL22&amp;"aa",[11]Feuil1!$A$27:$EP$48,11,FALSE))</f>
        <v>0</v>
      </c>
      <c r="BE22" s="706">
        <f>IF(OR(HLOOKUP($AL22&amp;"a",[11]Feuil1!$A$27:$EP$48,12,FALSE)=FALSE,HLOOKUP($AL22&amp;"a",[11]Feuil1!$A$27:$EP$48,12,FALSE)=""),0,HLOOKUP($AL22&amp;"a",[11]Feuil1!$A$27:$EP$48,12,FALSE))</f>
        <v>2</v>
      </c>
      <c r="BF22" s="706">
        <f>IF(HLOOKUP($AL22&amp;"aa",[11]Feuil1!$A$27:$EP$48,12,FALSE)=FALSE,0,HLOOKUP($AL22&amp;"aa",[11]Feuil1!$A$27:$EP$48,12,FALSE))</f>
        <v>0</v>
      </c>
      <c r="BG22" s="706">
        <f>IF(OR(HLOOKUP($AL22&amp;"a",[11]Feuil1!$A$27:$EP$48,13,FALSE)=FALSE,HLOOKUP($AL22&amp;"a",[11]Feuil1!$A$27:$EP$48,13,FALSE)=""),0,HLOOKUP($AL22&amp;"a",[11]Feuil1!$A$27:$EP$48,13,FALSE))</f>
        <v>0</v>
      </c>
      <c r="BH22" s="706">
        <f>IF(HLOOKUP($AL22&amp;"aa",[11]Feuil1!$A$27:$EP$48,13,FALSE)=FALSE,0,HLOOKUP($AL22&amp;"aa",[11]Feuil1!$A$27:$EP$48,13,FALSE))</f>
        <v>2</v>
      </c>
      <c r="BI22" s="706">
        <f>IF(OR(HLOOKUP($AL22&amp;"a",[11]Feuil1!$A$27:$EP$48,14,FALSE)=FALSE,HLOOKUP($AL22&amp;"a",[11]Feuil1!$A$27:$EP$48,14,FALSE)=""),0,HLOOKUP($AL22&amp;"a",[11]Feuil1!$A$27:$EP$48,14,FALSE))</f>
        <v>0</v>
      </c>
      <c r="BJ22" s="706">
        <f>IF(HLOOKUP($AL22&amp;"aa",[11]Feuil1!$A$27:$EP$48,14,FALSE)=FALSE,0,HLOOKUP($AL22&amp;"aa",[11]Feuil1!$A$27:$EP$48,14,FALSE))</f>
        <v>1</v>
      </c>
      <c r="BK22" s="706">
        <f>IF(OR(HLOOKUP($AL22&amp;"a",[11]Feuil1!$A$27:$EP$48,15,FALSE)=FALSE,HLOOKUP($AL22&amp;"a",[11]Feuil1!$A$27:$EP$48,15,FALSE)=""),0,HLOOKUP($AL22&amp;"a",[11]Feuil1!$A$27:$EP$48,15,FALSE))</f>
        <v>0</v>
      </c>
      <c r="BL22" s="706">
        <f>IF(HLOOKUP($AL22&amp;"aa",[11]Feuil1!$A$27:$EP$48,15,FALSE)=FALSE,0,HLOOKUP($AL22&amp;"aa",[11]Feuil1!$A$27:$EP$48,15,FALSE))</f>
        <v>0</v>
      </c>
      <c r="BM22" s="706">
        <f>IF(OR(HLOOKUP($AL22&amp;"a",[11]Feuil1!$A$27:$EP$48,16,FALSE)=FALSE,HLOOKUP($AL22&amp;"a",[11]Feuil1!$A$27:$EP$48,16,FALSE)=""),0,HLOOKUP($AL22&amp;"a",[11]Feuil1!$A$27:$EP$48,16,FALSE))</f>
        <v>0</v>
      </c>
      <c r="BN22" s="706">
        <f>IF(HLOOKUP($AL22&amp;"aa",[11]Feuil1!$A$27:$EP$48,16,FALSE)=FALSE,0,HLOOKUP($AL22&amp;"aa",[11]Feuil1!$A$27:$EP$48,16,FALSE))</f>
        <v>0</v>
      </c>
      <c r="BO22" s="706">
        <f>IF(OR(HLOOKUP($AL22&amp;"a",[11]Feuil1!$A$27:$EP$48,17,FALSE)=FALSE,HLOOKUP($AL22&amp;"a",[11]Feuil1!$A$27:$EP$48,17,FALSE)=""),0,HLOOKUP($AL22&amp;"a",[11]Feuil1!$A$27:$EP$48,17,FALSE))</f>
        <v>0</v>
      </c>
      <c r="BP22" s="706">
        <f>IF(HLOOKUP($AL22&amp;"aa",[11]Feuil1!$A$27:$EP$48,17,FALSE)=FALSE,0,HLOOKUP($AL22&amp;"aa",[11]Feuil1!$A$27:$EP$48,17,FALSE))</f>
        <v>0</v>
      </c>
      <c r="BQ22" s="706">
        <f>IF(OR(HLOOKUP($AL22&amp;"a",[11]Feuil1!$A$27:$EP$48,18,FALSE)=FALSE,HLOOKUP($AL22&amp;"a",[11]Feuil1!$A$27:$EP$48,18,FALSE)=""),0,HLOOKUP($AL22&amp;"a",[11]Feuil1!$A$27:$EP$48,18,FALSE))</f>
        <v>0</v>
      </c>
      <c r="BR22" s="706">
        <f>IF(HLOOKUP($AL22&amp;"aa",[11]Feuil1!$A$27:$EP$48,18,FALSE)=FALSE,0,HLOOKUP($AL22&amp;"aa",[11]Feuil1!$A$27:$EP$48,18,FALSE))</f>
        <v>0</v>
      </c>
      <c r="BS22" s="707">
        <f t="shared" si="29"/>
        <v>13.666666666666666</v>
      </c>
      <c r="BT22" s="707">
        <f t="shared" si="30"/>
        <v>15.333333333333334</v>
      </c>
      <c r="BU22" s="707">
        <f t="shared" si="31"/>
        <v>14.5</v>
      </c>
      <c r="BV22" s="708">
        <f t="shared" ca="1" si="32"/>
        <v>3</v>
      </c>
      <c r="BW22" s="708">
        <f t="shared" ca="1" si="33"/>
        <v>3</v>
      </c>
      <c r="BX22" t="str">
        <f t="shared" si="34"/>
        <v>COJEAN Youen</v>
      </c>
      <c r="BY22" s="709">
        <v>7</v>
      </c>
      <c r="BZ22" s="710" t="s">
        <v>533</v>
      </c>
      <c r="CA22" s="711" t="s">
        <v>534</v>
      </c>
      <c r="CB22" s="709">
        <v>5</v>
      </c>
      <c r="CC22" s="712" t="s">
        <v>535</v>
      </c>
      <c r="CD22" s="709" t="s">
        <v>536</v>
      </c>
      <c r="CE22" s="591" t="str">
        <f t="shared" si="35"/>
        <v>1191.00</v>
      </c>
      <c r="CF22" s="561"/>
      <c r="CG22" s="561"/>
      <c r="CH22" s="561"/>
      <c r="CI22" s="714"/>
      <c r="CK22" s="715">
        <f t="shared" si="36"/>
        <v>15</v>
      </c>
      <c r="CL22" s="591">
        <f t="shared" si="17"/>
        <v>0</v>
      </c>
      <c r="CM22" s="716">
        <f t="shared" si="18"/>
        <v>-7.8999999999950887E-2</v>
      </c>
      <c r="CN22" s="716">
        <f t="shared" si="18"/>
        <v>0</v>
      </c>
      <c r="CO22" s="716">
        <f t="shared" si="18"/>
        <v>0</v>
      </c>
      <c r="CP22" s="716">
        <f t="shared" si="18"/>
        <v>-9</v>
      </c>
      <c r="CQ22" s="716">
        <f t="shared" si="18"/>
        <v>0</v>
      </c>
      <c r="CR22" s="716">
        <f t="shared" si="18"/>
        <v>15</v>
      </c>
      <c r="CS22" s="716">
        <f t="shared" si="18"/>
        <v>-4.9999999999954525E-2</v>
      </c>
      <c r="CT22" s="716">
        <f t="shared" si="18"/>
        <v>4.9999999999954525E-2</v>
      </c>
      <c r="CU22" s="716">
        <f t="shared" si="18"/>
        <v>-9.9999999999909051E-2</v>
      </c>
      <c r="CV22" s="717" t="str">
        <f t="shared" si="37"/>
        <v>faux</v>
      </c>
      <c r="CW22" s="718">
        <f>IF(E22=0,"",VLOOKUP(B22,[10]liste!AU:BD,10,FALSE))</f>
        <v>2</v>
      </c>
      <c r="CX22" s="719">
        <f t="shared" si="19"/>
        <v>1414.9</v>
      </c>
      <c r="CY22" s="720">
        <f t="shared" si="38"/>
        <v>14</v>
      </c>
      <c r="CZ22" s="721"/>
      <c r="DA22" s="721"/>
      <c r="DB22" s="719"/>
      <c r="DC22" s="722" t="str">
        <f t="shared" ca="1" si="20"/>
        <v/>
      </c>
      <c r="DE22" s="723">
        <f t="shared" si="21"/>
        <v>1409.079</v>
      </c>
      <c r="DF22" s="723">
        <f t="shared" si="22"/>
        <v>1414.9</v>
      </c>
      <c r="DG22" s="697" t="str">
        <f t="shared" si="23"/>
        <v>Trin Kilian</v>
      </c>
      <c r="DH22" s="724">
        <f t="shared" si="24"/>
        <v>0</v>
      </c>
      <c r="DI22" s="724">
        <f t="shared" si="39"/>
        <v>2</v>
      </c>
      <c r="DJ22" s="719">
        <f t="shared" si="25"/>
        <v>1400</v>
      </c>
      <c r="DK22" s="719" t="str">
        <f t="shared" si="26"/>
        <v/>
      </c>
      <c r="DL22" s="719" t="str">
        <f t="shared" si="40"/>
        <v/>
      </c>
      <c r="DM22" s="719"/>
      <c r="DN22" s="719"/>
      <c r="DO22" s="719"/>
      <c r="DP22" s="720">
        <f t="shared" si="41"/>
        <v>14</v>
      </c>
      <c r="DQ22" s="591">
        <f ca="1">VLOOKUP(DG22,[10]résultats!$A$2:$DE$70,109,FALSE)</f>
        <v>3</v>
      </c>
      <c r="DR22" s="591">
        <f ca="1">VLOOKUP(DG22,[10]résultats!$A$2:$DG$70,111,FALSE)</f>
        <v>6</v>
      </c>
      <c r="DT22" s="591">
        <f t="shared" si="42"/>
        <v>7</v>
      </c>
      <c r="DU22" s="591">
        <f t="shared" si="43"/>
        <v>7</v>
      </c>
    </row>
    <row r="23" spans="1:125" s="591" customFormat="1" ht="23.1" customHeight="1">
      <c r="A23" s="308">
        <f t="shared" si="9"/>
        <v>8</v>
      </c>
      <c r="B23" s="297" t="str">
        <f>IF(E23=0,"",VLOOKUP(E23,[10]liste!AM:AN,2,FALSE))</f>
        <v>Faulkner Thierry</v>
      </c>
      <c r="C23" s="298">
        <f>IF(E23=0,"",VLOOKUP(B23,[10]liste!AN:AP,3,FALSE))</f>
        <v>13</v>
      </c>
      <c r="D23" s="691">
        <f t="shared" si="10"/>
        <v>13</v>
      </c>
      <c r="E23" s="692">
        <f>LARGE([10]liste!AM:AM,8)</f>
        <v>1347.0250000000001</v>
      </c>
      <c r="F23" s="693">
        <v>1347</v>
      </c>
      <c r="G23" s="693">
        <v>1347</v>
      </c>
      <c r="H23" s="693">
        <v>1347</v>
      </c>
      <c r="I23" s="692">
        <v>1338</v>
      </c>
      <c r="J23" s="693">
        <v>1346</v>
      </c>
      <c r="K23" s="693">
        <v>1346</v>
      </c>
      <c r="L23" s="693">
        <v>1346</v>
      </c>
      <c r="M23" s="692">
        <v>1345</v>
      </c>
      <c r="N23" s="692">
        <v>1347</v>
      </c>
      <c r="O23" s="694"/>
      <c r="P23" s="695">
        <f t="shared" ca="1" si="11"/>
        <v>2</v>
      </c>
      <c r="Q23" s="170">
        <f t="shared" si="12"/>
        <v>-2.5000000000090949E-2</v>
      </c>
      <c r="R23" s="696">
        <f ca="1">IF(U23&lt;MAX(U$16:U$81)/6.2,"NS",IF(B23="",0,VLOOKUP(B23,[10]résultats!AX:DH,63,FALSE)))</f>
        <v>0.6087169675264702</v>
      </c>
      <c r="S23" s="697" t="str">
        <f t="shared" si="13"/>
        <v>Faulkner Thierry</v>
      </c>
      <c r="T23" s="171">
        <f t="shared" ca="1" si="14"/>
        <v>14</v>
      </c>
      <c r="U23" s="172">
        <f ca="1">DR23</f>
        <v>23</v>
      </c>
      <c r="V23" s="292">
        <f ca="1">IF(B23="",0,HLOOKUP(B23&amp;"a",[11]Feuil1!$A$27:$FX$48,20,FALSE)+RAND()*0.0001)</f>
        <v>1.0000810483200697</v>
      </c>
      <c r="W23" s="293">
        <f ca="1">IF(B23="",0,HLOOKUP(B23&amp;"a",[11]Feuil1!$A$27:$FX$48,21,FALSE))+RAND()*0.0001</f>
        <v>3.0000972648060271</v>
      </c>
      <c r="X23" s="725">
        <f t="shared" si="27"/>
        <v>1240</v>
      </c>
      <c r="Y23" s="701">
        <f t="shared" si="15"/>
        <v>1347.0250000000001</v>
      </c>
      <c r="Z23" s="606">
        <f>'[10] joueur de l''année'!Z46</f>
        <v>8</v>
      </c>
      <c r="AA23" s="963" t="str">
        <f ca="1">'[10] joueur de l''année'!AA46</f>
        <v>Le Cam</v>
      </c>
      <c r="AB23" s="1150">
        <f ca="1">'[10] joueur de l''année'!AC46</f>
        <v>23.378016396935088</v>
      </c>
      <c r="AC23" s="730"/>
      <c r="AD23" s="175" t="str">
        <f ca="1">'[10] joueur de l''année'!AA25</f>
        <v>Zaragoza Quentin</v>
      </c>
      <c r="AE23" s="302">
        <f ca="1">IF(AD23=0,"",VLOOKUP(AD23,'[10] joueur de l''année'!$A$3:$T$100,19,FALSE))</f>
        <v>42.866813101358851</v>
      </c>
      <c r="AF23" s="561"/>
      <c r="AH23" s="703" t="str">
        <f ca="1">[10]cal.Ph1!P8</f>
        <v>engagement Circuit jeune:</v>
      </c>
      <c r="AI23" s="704">
        <f ca="1">[10]cal.Ph1!O8</f>
        <v>42286.000000564069</v>
      </c>
      <c r="AJ23" s="677"/>
      <c r="AK23" s="677">
        <f t="shared" si="28"/>
        <v>31</v>
      </c>
      <c r="AL23" s="705" t="str">
        <f t="shared" si="16"/>
        <v>Faulkner Thierry</v>
      </c>
      <c r="AM23" s="706">
        <f>IF(OR(HLOOKUP($AL23&amp;"a",[11]Feuil1!$A$27:$EP$48,3,FALSE)=FALSE,HLOOKUP($AL23&amp;"a",[11]Feuil1!$A$27:$EP$48,3,FALSE)=""),0,HLOOKUP($AL23&amp;"a",[11]Feuil1!$A$27:$EP$48,3,FALSE))</f>
        <v>1</v>
      </c>
      <c r="AN23" s="706">
        <f>IF(HLOOKUP($AL23&amp;"aa",[11]Feuil1!$A$27:$EP$48,3,FALSE)=FALSE,0,HLOOKUP($AL23&amp;"aa",[11]Feuil1!$A$27:$EP$48,3,FALSE))</f>
        <v>0</v>
      </c>
      <c r="AO23" s="706">
        <f>IF(OR(HLOOKUP($AL23&amp;"a",[11]Feuil1!$A$27:$EP$48,4,FALSE)=FALSE,HLOOKUP($AL23&amp;"a",[11]Feuil1!$A$27:$EP$48,4,FALSE)=""),0,HLOOKUP($AL23&amp;"a",[11]Feuil1!$A$27:$EP$48,4,FALSE))</f>
        <v>0</v>
      </c>
      <c r="AP23" s="706">
        <f>IF(HLOOKUP($AL23&amp;"aa",[11]Feuil1!$A$27:$EP$48,4,FALSE)=FALSE,0,HLOOKUP($AL23&amp;"aa",[11]Feuil1!$A$27:$EP$48,4,FALSE))</f>
        <v>0</v>
      </c>
      <c r="AQ23" s="706">
        <f>IF(OR(HLOOKUP($AL23&amp;"a",[11]Feuil1!$A$27:$EP$48,5,FALSE)=FALSE,HLOOKUP($AL23&amp;"a",[11]Feuil1!$A$27:$EP$48,5,FALSE)=""),0,HLOOKUP($AL23&amp;"a",[11]Feuil1!$A$27:$EP$48,5,FALSE))</f>
        <v>0</v>
      </c>
      <c r="AR23" s="706">
        <f>IF(HLOOKUP($AL23&amp;"aa",[11]Feuil1!$A$27:$EP$48,5,FALSE)=FALSE,0,HLOOKUP($AL23&amp;"aa",[11]Feuil1!$A$27:$EP$48,5,FALSE))</f>
        <v>0</v>
      </c>
      <c r="AS23" s="706">
        <f>IF(OR(HLOOKUP($AL23&amp;"a",[11]Feuil1!$A$27:$EP$48,6,FALSE)=FALSE,HLOOKUP($AL23&amp;"a",[11]Feuil1!$A$27:$EP$48,6,FALSE)=""),0,HLOOKUP($AL23&amp;"a",[11]Feuil1!$A$27:$EP$48,6,FALSE))</f>
        <v>3</v>
      </c>
      <c r="AT23" s="706">
        <f>IF(HLOOKUP($AL23&amp;"aa",[11]Feuil1!$A$27:$EP$48,6,FALSE)=FALSE,0,HLOOKUP($AL23&amp;"aa",[11]Feuil1!$A$27:$EP$48,6,FALSE))</f>
        <v>0</v>
      </c>
      <c r="AU23" s="706">
        <f>IF(OR(HLOOKUP($AL23&amp;"a",[11]Feuil1!$A$27:$EP$48,7,FALSE)=FALSE,HLOOKUP($AL23&amp;"a",[11]Feuil1!$A$27:$EP$48,7,FALSE)=""),0,HLOOKUP($AL23&amp;"a",[11]Feuil1!$A$27:$EP$48,7,FALSE))</f>
        <v>1</v>
      </c>
      <c r="AV23" s="706">
        <f>IF(HLOOKUP($AL23&amp;"aa",[11]Feuil1!$A$27:$EP$48,7,FALSE)=FALSE,0,HLOOKUP($AL23&amp;"aa",[11]Feuil1!$A$27:$EP$48,7,FALSE))</f>
        <v>0</v>
      </c>
      <c r="AW23" s="706">
        <f>IF(OR(HLOOKUP($AL23&amp;"a",[11]Feuil1!$A$27:$EP$48,8,FALSE)=FALSE,HLOOKUP($AL23&amp;"a",[11]Feuil1!$A$27:$EP$48,8,FALSE)=""),0,HLOOKUP($AL23&amp;"a",[11]Feuil1!$A$27:$EP$48,8,FALSE))</f>
        <v>4</v>
      </c>
      <c r="AX23" s="706">
        <f>IF(HLOOKUP($AL23&amp;"aa",[11]Feuil1!$A$27:$EP$48,8,FALSE)=FALSE,0,HLOOKUP($AL23&amp;"aa",[11]Feuil1!$A$27:$EP$48,8,FALSE))</f>
        <v>0</v>
      </c>
      <c r="AY23" s="706">
        <f>IF(OR(HLOOKUP($AL23&amp;"a",[11]Feuil1!$A$27:$EP$48,9,FALSE)=FALSE,HLOOKUP($AL23&amp;"a",[11]Feuil1!$A$27:$EP$48,9,FALSE)=""),0,HLOOKUP($AL23&amp;"a",[11]Feuil1!$A$27:$EP$48,9,FALSE))</f>
        <v>3</v>
      </c>
      <c r="AZ23" s="706">
        <f>IF(HLOOKUP($AL23&amp;"aa",[11]Feuil1!$A$27:$EP$48,9,FALSE)=FALSE,0,HLOOKUP($AL23&amp;"aa",[11]Feuil1!$A$27:$EP$48,9,FALSE))</f>
        <v>1</v>
      </c>
      <c r="BA23" s="706">
        <f>IF(OR(HLOOKUP($AL23&amp;"a",[11]Feuil1!$A$27:$EP$48,10,FALSE)=FALSE,HLOOKUP($AL23&amp;"a",[11]Feuil1!$A$27:$EP$48,10,FALSE)=""),0,HLOOKUP($AL23&amp;"a",[11]Feuil1!$A$27:$EP$48,10,FALSE))</f>
        <v>4</v>
      </c>
      <c r="BB23" s="706">
        <f>IF(HLOOKUP($AL23&amp;"aa",[11]Feuil1!$A$27:$EP$48,10,FALSE)=FALSE,0,HLOOKUP($AL23&amp;"aa",[11]Feuil1!$A$27:$EP$48,10,FALSE))</f>
        <v>2</v>
      </c>
      <c r="BC23" s="706">
        <f>IF(OR(HLOOKUP($AL23&amp;"a",[11]Feuil1!$A$27:$EP$48,11,FALSE)=FALSE,HLOOKUP($AL23&amp;"a",[11]Feuil1!$A$27:$EP$48,11,FALSE)=""),0,HLOOKUP($AL23&amp;"a",[11]Feuil1!$A$27:$EP$48,11,FALSE))</f>
        <v>2</v>
      </c>
      <c r="BD23" s="706">
        <f>IF(HLOOKUP($AL23&amp;"aa",[11]Feuil1!$A$27:$EP$48,11,FALSE)=FALSE,0,HLOOKUP($AL23&amp;"aa",[11]Feuil1!$A$27:$EP$48,11,FALSE))</f>
        <v>2</v>
      </c>
      <c r="BE23" s="706">
        <f>IF(OR(HLOOKUP($AL23&amp;"a",[11]Feuil1!$A$27:$EP$48,12,FALSE)=FALSE,HLOOKUP($AL23&amp;"a",[11]Feuil1!$A$27:$EP$48,12,FALSE)=""),0,HLOOKUP($AL23&amp;"a",[11]Feuil1!$A$27:$EP$48,12,FALSE))</f>
        <v>0</v>
      </c>
      <c r="BF23" s="706">
        <f>IF(HLOOKUP($AL23&amp;"aa",[11]Feuil1!$A$27:$EP$48,12,FALSE)=FALSE,0,HLOOKUP($AL23&amp;"aa",[11]Feuil1!$A$27:$EP$48,12,FALSE))</f>
        <v>1</v>
      </c>
      <c r="BG23" s="706">
        <f>IF(OR(HLOOKUP($AL23&amp;"a",[11]Feuil1!$A$27:$EP$48,13,FALSE)=FALSE,HLOOKUP($AL23&amp;"a",[11]Feuil1!$A$27:$EP$48,13,FALSE)=""),0,HLOOKUP($AL23&amp;"a",[11]Feuil1!$A$27:$EP$48,13,FALSE))</f>
        <v>0</v>
      </c>
      <c r="BH23" s="706">
        <f>IF(HLOOKUP($AL23&amp;"aa",[11]Feuil1!$A$27:$EP$48,13,FALSE)=FALSE,0,HLOOKUP($AL23&amp;"aa",[11]Feuil1!$A$27:$EP$48,13,FALSE))</f>
        <v>3</v>
      </c>
      <c r="BI23" s="706">
        <f>IF(OR(HLOOKUP($AL23&amp;"a",[11]Feuil1!$A$27:$EP$48,14,FALSE)=FALSE,HLOOKUP($AL23&amp;"a",[11]Feuil1!$A$27:$EP$48,14,FALSE)=""),0,HLOOKUP($AL23&amp;"a",[11]Feuil1!$A$27:$EP$48,14,FALSE))</f>
        <v>0</v>
      </c>
      <c r="BJ23" s="706">
        <f>IF(HLOOKUP($AL23&amp;"aa",[11]Feuil1!$A$27:$EP$48,14,FALSE)=FALSE,0,HLOOKUP($AL23&amp;"aa",[11]Feuil1!$A$27:$EP$48,14,FALSE))</f>
        <v>4</v>
      </c>
      <c r="BK23" s="706">
        <f>IF(OR(HLOOKUP($AL23&amp;"a",[11]Feuil1!$A$27:$EP$48,15,FALSE)=FALSE,HLOOKUP($AL23&amp;"a",[11]Feuil1!$A$27:$EP$48,15,FALSE)=""),0,HLOOKUP($AL23&amp;"a",[11]Feuil1!$A$27:$EP$48,15,FALSE))</f>
        <v>0</v>
      </c>
      <c r="BL23" s="706">
        <f>IF(HLOOKUP($AL23&amp;"aa",[11]Feuil1!$A$27:$EP$48,15,FALSE)=FALSE,0,HLOOKUP($AL23&amp;"aa",[11]Feuil1!$A$27:$EP$48,15,FALSE))</f>
        <v>0</v>
      </c>
      <c r="BM23" s="706">
        <f>IF(OR(HLOOKUP($AL23&amp;"a",[11]Feuil1!$A$27:$EP$48,16,FALSE)=FALSE,HLOOKUP($AL23&amp;"a",[11]Feuil1!$A$27:$EP$48,16,FALSE)=""),0,HLOOKUP($AL23&amp;"a",[11]Feuil1!$A$27:$EP$48,16,FALSE))</f>
        <v>0</v>
      </c>
      <c r="BN23" s="706">
        <f>IF(HLOOKUP($AL23&amp;"aa",[11]Feuil1!$A$27:$EP$48,16,FALSE)=FALSE,0,HLOOKUP($AL23&amp;"aa",[11]Feuil1!$A$27:$EP$48,16,FALSE))</f>
        <v>0</v>
      </c>
      <c r="BO23" s="706">
        <f>IF(OR(HLOOKUP($AL23&amp;"a",[11]Feuil1!$A$27:$EP$48,17,FALSE)=FALSE,HLOOKUP($AL23&amp;"a",[11]Feuil1!$A$27:$EP$48,17,FALSE)=""),0,HLOOKUP($AL23&amp;"a",[11]Feuil1!$A$27:$EP$48,17,FALSE))</f>
        <v>0</v>
      </c>
      <c r="BP23" s="706">
        <f>IF(HLOOKUP($AL23&amp;"aa",[11]Feuil1!$A$27:$EP$48,17,FALSE)=FALSE,0,HLOOKUP($AL23&amp;"aa",[11]Feuil1!$A$27:$EP$48,17,FALSE))</f>
        <v>0</v>
      </c>
      <c r="BQ23" s="706">
        <f>IF(OR(HLOOKUP($AL23&amp;"a",[11]Feuil1!$A$27:$EP$48,18,FALSE)=FALSE,HLOOKUP($AL23&amp;"a",[11]Feuil1!$A$27:$EP$48,18,FALSE)=""),0,HLOOKUP($AL23&amp;"a",[11]Feuil1!$A$27:$EP$48,18,FALSE))</f>
        <v>0</v>
      </c>
      <c r="BR23" s="706">
        <f>IF(HLOOKUP($AL23&amp;"aa",[11]Feuil1!$A$27:$EP$48,18,FALSE)=FALSE,0,HLOOKUP($AL23&amp;"aa",[11]Feuil1!$A$27:$EP$48,18,FALSE))</f>
        <v>0</v>
      </c>
      <c r="BS23" s="707">
        <f t="shared" si="29"/>
        <v>10.277777777777779</v>
      </c>
      <c r="BT23" s="707">
        <f t="shared" si="30"/>
        <v>14.153846153846153</v>
      </c>
      <c r="BU23" s="707">
        <f t="shared" si="31"/>
        <v>11.903225806451612</v>
      </c>
      <c r="BV23" s="708">
        <f t="shared" ca="1" si="32"/>
        <v>14</v>
      </c>
      <c r="BW23" s="708">
        <f ca="1">U23-T23</f>
        <v>9</v>
      </c>
      <c r="BX23" t="str">
        <f t="shared" si="34"/>
        <v>COLOMBEL Guy</v>
      </c>
      <c r="BY23" s="726">
        <v>8</v>
      </c>
      <c r="BZ23" s="727" t="s">
        <v>537</v>
      </c>
      <c r="CA23" s="728" t="s">
        <v>538</v>
      </c>
      <c r="CB23" s="726">
        <v>10</v>
      </c>
      <c r="CC23" s="729" t="s">
        <v>539</v>
      </c>
      <c r="CD23" s="726" t="s">
        <v>521</v>
      </c>
      <c r="CE23" s="591" t="e">
        <f t="shared" si="35"/>
        <v>#N/A</v>
      </c>
      <c r="CF23" s="561"/>
      <c r="CG23" s="561"/>
      <c r="CH23" s="561"/>
      <c r="CI23" s="714"/>
      <c r="CK23" s="715">
        <f t="shared" si="36"/>
        <v>8</v>
      </c>
      <c r="CL23" s="591">
        <f t="shared" si="17"/>
        <v>0</v>
      </c>
      <c r="CM23" s="716">
        <f t="shared" si="18"/>
        <v>-2.5000000000090949E-2</v>
      </c>
      <c r="CN23" s="716">
        <f t="shared" si="18"/>
        <v>0</v>
      </c>
      <c r="CO23" s="716">
        <f t="shared" si="18"/>
        <v>0</v>
      </c>
      <c r="CP23" s="716">
        <f t="shared" si="18"/>
        <v>-9</v>
      </c>
      <c r="CQ23" s="716">
        <f t="shared" si="18"/>
        <v>8</v>
      </c>
      <c r="CR23" s="716">
        <f t="shared" si="18"/>
        <v>0</v>
      </c>
      <c r="CS23" s="716">
        <f t="shared" si="18"/>
        <v>0</v>
      </c>
      <c r="CT23" s="716">
        <f t="shared" si="18"/>
        <v>-1</v>
      </c>
      <c r="CU23" s="716">
        <f t="shared" si="18"/>
        <v>2</v>
      </c>
      <c r="CV23" s="717" t="str">
        <f t="shared" si="37"/>
        <v>faux</v>
      </c>
      <c r="CW23" s="718">
        <f>IF(E23=0,"",VLOOKUP(B23,[10]liste!AU:BD,10,FALSE))</f>
        <v>2</v>
      </c>
      <c r="CX23" s="719">
        <f t="shared" si="19"/>
        <v>1347</v>
      </c>
      <c r="CY23" s="720">
        <f t="shared" si="38"/>
        <v>13</v>
      </c>
      <c r="CZ23" s="721"/>
      <c r="DA23" s="721"/>
      <c r="DB23" s="719"/>
      <c r="DC23" s="722" t="str">
        <f t="shared" ca="1" si="20"/>
        <v/>
      </c>
      <c r="DE23" s="723">
        <f t="shared" si="21"/>
        <v>1347.0250000000001</v>
      </c>
      <c r="DF23" s="723">
        <f t="shared" si="22"/>
        <v>1347</v>
      </c>
      <c r="DG23" s="697" t="str">
        <f t="shared" si="23"/>
        <v>Faulkner Thierry</v>
      </c>
      <c r="DH23" s="724">
        <f t="shared" si="24"/>
        <v>0</v>
      </c>
      <c r="DI23" s="724">
        <f t="shared" si="39"/>
        <v>2</v>
      </c>
      <c r="DJ23" s="719">
        <f t="shared" si="25"/>
        <v>1338</v>
      </c>
      <c r="DK23" s="719" t="str">
        <f t="shared" si="26"/>
        <v/>
      </c>
      <c r="DL23" s="719" t="str">
        <f t="shared" si="40"/>
        <v/>
      </c>
      <c r="DM23" s="719"/>
      <c r="DN23" s="719"/>
      <c r="DO23" s="719"/>
      <c r="DP23" s="720">
        <f t="shared" si="41"/>
        <v>13</v>
      </c>
      <c r="DQ23" s="591">
        <f ca="1">VLOOKUP(DG23,[10]résultats!$A$2:$DE$70,109,FALSE)</f>
        <v>14</v>
      </c>
      <c r="DR23" s="591">
        <f ca="1">VLOOKUP(DG23,[10]résultats!$A$2:$DG$70,111,FALSE)</f>
        <v>23</v>
      </c>
      <c r="DT23" s="591">
        <f t="shared" si="42"/>
        <v>8</v>
      </c>
      <c r="DU23" s="591">
        <f t="shared" si="43"/>
        <v>8</v>
      </c>
    </row>
    <row r="24" spans="1:125" s="591" customFormat="1" ht="23.1" customHeight="1">
      <c r="A24" s="308">
        <f t="shared" si="9"/>
        <v>12</v>
      </c>
      <c r="B24" s="297" t="str">
        <f>IF(E24=0,"",VLOOKUP(E24,[10]liste!AM:AN,2,FALSE))</f>
        <v>Couture Christophe</v>
      </c>
      <c r="C24" s="298">
        <f>IF(E24=0,"",VLOOKUP(B24,[10]liste!AN:AP,3,FALSE))</f>
        <v>10</v>
      </c>
      <c r="D24" s="691">
        <f t="shared" si="10"/>
        <v>10</v>
      </c>
      <c r="E24" s="692">
        <f>LARGE([10]liste!AM:AM,9)</f>
        <v>1083.0130999999999</v>
      </c>
      <c r="F24" s="693">
        <v>1081</v>
      </c>
      <c r="G24" s="693">
        <v>1090</v>
      </c>
      <c r="H24" s="693">
        <v>1090.4000000000001</v>
      </c>
      <c r="I24" s="692">
        <v>1065</v>
      </c>
      <c r="J24" s="693">
        <v>1071</v>
      </c>
      <c r="K24" s="693">
        <v>1050</v>
      </c>
      <c r="L24" s="693">
        <v>1040</v>
      </c>
      <c r="M24" s="692">
        <v>1035</v>
      </c>
      <c r="N24" s="692">
        <v>1035</v>
      </c>
      <c r="O24" s="694"/>
      <c r="P24" s="695">
        <f t="shared" ca="1" si="11"/>
        <v>0</v>
      </c>
      <c r="Q24" s="170">
        <f t="shared" si="12"/>
        <v>-48.013099999999895</v>
      </c>
      <c r="R24" s="696">
        <f ca="1">IF(U24&lt;MAX(U$16:U$81)/6.2,"NS",IF(B24="",0,VLOOKUP(B24,[10]résultats!AX:DH,63,FALSE)))</f>
        <v>0.37935489815187312</v>
      </c>
      <c r="S24" s="697" t="str">
        <f t="shared" si="13"/>
        <v>Couture Christophe</v>
      </c>
      <c r="T24" s="171">
        <f t="shared" ca="1" si="14"/>
        <v>11</v>
      </c>
      <c r="U24" s="172">
        <f t="shared" ca="1" si="14"/>
        <v>29</v>
      </c>
      <c r="V24" s="292">
        <f ca="1">IF(B24="",0,HLOOKUP(B24&amp;"a",[11]Feuil1!$A$27:$FX$48,20,FALSE)+RAND()*0.0001)</f>
        <v>1.0000875013992967</v>
      </c>
      <c r="W24" s="293">
        <f ca="1">IF(B24="",0,HLOOKUP(B24&amp;"a",[11]Feuil1!$A$27:$FX$48,21,FALSE))+RAND()*0.0001</f>
        <v>5.0000209018438166</v>
      </c>
      <c r="X24" s="725">
        <f t="shared" si="27"/>
        <v>1057</v>
      </c>
      <c r="Y24" s="701">
        <f t="shared" si="15"/>
        <v>1090.4000000000001</v>
      </c>
      <c r="Z24" s="606">
        <f>'[10] joueur de l''année'!Z47</f>
        <v>9</v>
      </c>
      <c r="AA24" s="963" t="str">
        <f ca="1">'[10] joueur de l''année'!AA47</f>
        <v>Cojean</v>
      </c>
      <c r="AB24" s="1150">
        <f ca="1">'[10] joueur de l''année'!AC47</f>
        <v>22.728490519998488</v>
      </c>
      <c r="AC24" s="730"/>
      <c r="AD24" s="175" t="str">
        <f ca="1">'[10] joueur de l''année'!AA26</f>
        <v>Vilain Benjamin</v>
      </c>
      <c r="AE24" s="302">
        <f ca="1">IF(AD24=0,"",VLOOKUP(AD24,'[10] joueur de l''année'!$A$3:$T$100,19,FALSE))</f>
        <v>39.648608359395233</v>
      </c>
      <c r="AF24" s="561"/>
      <c r="AH24" s="703" t="str">
        <f ca="1">[10]cal.Ph1!P9</f>
        <v>TOP 56</v>
      </c>
      <c r="AI24" s="704">
        <f ca="1">[10]cal.Ph1!O9</f>
        <v>42353.000000724103</v>
      </c>
      <c r="AJ24" s="677"/>
      <c r="AK24" s="677">
        <f t="shared" si="28"/>
        <v>29</v>
      </c>
      <c r="AL24" s="705" t="str">
        <f t="shared" si="16"/>
        <v>Couture Christophe</v>
      </c>
      <c r="AM24" s="706">
        <f>IF(OR(HLOOKUP($AL24&amp;"a",[11]Feuil1!$A$27:$EP$48,3,FALSE)=FALSE,HLOOKUP($AL24&amp;"a",[11]Feuil1!$A$27:$EP$48,3,FALSE)=""),0,HLOOKUP($AL24&amp;"a",[11]Feuil1!$A$27:$EP$48,3,FALSE))</f>
        <v>1</v>
      </c>
      <c r="AN24" s="706">
        <f>IF(HLOOKUP($AL24&amp;"aa",[11]Feuil1!$A$27:$EP$48,3,FALSE)=FALSE,0,HLOOKUP($AL24&amp;"aa",[11]Feuil1!$A$27:$EP$48,3,FALSE))</f>
        <v>0</v>
      </c>
      <c r="AO24" s="706">
        <f>IF(OR(HLOOKUP($AL24&amp;"a",[11]Feuil1!$A$27:$EP$48,4,FALSE)=FALSE,HLOOKUP($AL24&amp;"a",[11]Feuil1!$A$27:$EP$48,4,FALSE)=""),0,HLOOKUP($AL24&amp;"a",[11]Feuil1!$A$27:$EP$48,4,FALSE))</f>
        <v>0</v>
      </c>
      <c r="AP24" s="706">
        <f>IF(HLOOKUP($AL24&amp;"aa",[11]Feuil1!$A$27:$EP$48,4,FALSE)=FALSE,0,HLOOKUP($AL24&amp;"aa",[11]Feuil1!$A$27:$EP$48,4,FALSE))</f>
        <v>1</v>
      </c>
      <c r="AQ24" s="706">
        <f>IF(OR(HLOOKUP($AL24&amp;"a",[11]Feuil1!$A$27:$EP$48,5,FALSE)=FALSE,HLOOKUP($AL24&amp;"a",[11]Feuil1!$A$27:$EP$48,5,FALSE)=""),0,HLOOKUP($AL24&amp;"a",[11]Feuil1!$A$27:$EP$48,5,FALSE))</f>
        <v>3</v>
      </c>
      <c r="AR24" s="706">
        <f>IF(HLOOKUP($AL24&amp;"aa",[11]Feuil1!$A$27:$EP$48,5,FALSE)=FALSE,0,HLOOKUP($AL24&amp;"aa",[11]Feuil1!$A$27:$EP$48,5,FALSE))</f>
        <v>0</v>
      </c>
      <c r="AS24" s="706">
        <f>IF(OR(HLOOKUP($AL24&amp;"a",[11]Feuil1!$A$27:$EP$48,6,FALSE)=FALSE,HLOOKUP($AL24&amp;"a",[11]Feuil1!$A$27:$EP$48,6,FALSE)=""),0,HLOOKUP($AL24&amp;"a",[11]Feuil1!$A$27:$EP$48,6,FALSE))</f>
        <v>2</v>
      </c>
      <c r="AT24" s="706">
        <f>IF(HLOOKUP($AL24&amp;"aa",[11]Feuil1!$A$27:$EP$48,6,FALSE)=FALSE,0,HLOOKUP($AL24&amp;"aa",[11]Feuil1!$A$27:$EP$48,6,FALSE))</f>
        <v>0</v>
      </c>
      <c r="AU24" s="706">
        <f>IF(OR(HLOOKUP($AL24&amp;"a",[11]Feuil1!$A$27:$EP$48,7,FALSE)=FALSE,HLOOKUP($AL24&amp;"a",[11]Feuil1!$A$27:$EP$48,7,FALSE)=""),0,HLOOKUP($AL24&amp;"a",[11]Feuil1!$A$27:$EP$48,7,FALSE))</f>
        <v>1</v>
      </c>
      <c r="AV24" s="706">
        <f>IF(HLOOKUP($AL24&amp;"aa",[11]Feuil1!$A$27:$EP$48,7,FALSE)=FALSE,0,HLOOKUP($AL24&amp;"aa",[11]Feuil1!$A$27:$EP$48,7,FALSE))</f>
        <v>0</v>
      </c>
      <c r="AW24" s="706">
        <f>IF(OR(HLOOKUP($AL24&amp;"a",[11]Feuil1!$A$27:$EP$48,8,FALSE)=FALSE,HLOOKUP($AL24&amp;"a",[11]Feuil1!$A$27:$EP$48,8,FALSE)=""),0,HLOOKUP($AL24&amp;"a",[11]Feuil1!$A$27:$EP$48,8,FALSE))</f>
        <v>3</v>
      </c>
      <c r="AX24" s="706">
        <f>IF(HLOOKUP($AL24&amp;"aa",[11]Feuil1!$A$27:$EP$48,8,FALSE)=FALSE,0,HLOOKUP($AL24&amp;"aa",[11]Feuil1!$A$27:$EP$48,8,FALSE))</f>
        <v>6</v>
      </c>
      <c r="AY24" s="706">
        <f>IF(OR(HLOOKUP($AL24&amp;"a",[11]Feuil1!$A$27:$EP$48,9,FALSE)=FALSE,HLOOKUP($AL24&amp;"a",[11]Feuil1!$A$27:$EP$48,9,FALSE)=""),0,HLOOKUP($AL24&amp;"a",[11]Feuil1!$A$27:$EP$48,9,FALSE))</f>
        <v>1</v>
      </c>
      <c r="AZ24" s="706">
        <f>IF(HLOOKUP($AL24&amp;"aa",[11]Feuil1!$A$27:$EP$48,9,FALSE)=FALSE,0,HLOOKUP($AL24&amp;"aa",[11]Feuil1!$A$27:$EP$48,9,FALSE))</f>
        <v>4</v>
      </c>
      <c r="BA24" s="706">
        <f>IF(OR(HLOOKUP($AL24&amp;"a",[11]Feuil1!$A$27:$EP$48,10,FALSE)=FALSE,HLOOKUP($AL24&amp;"a",[11]Feuil1!$A$27:$EP$48,10,FALSE)=""),0,HLOOKUP($AL24&amp;"a",[11]Feuil1!$A$27:$EP$48,10,FALSE))</f>
        <v>0</v>
      </c>
      <c r="BB24" s="706">
        <f>IF(HLOOKUP($AL24&amp;"aa",[11]Feuil1!$A$27:$EP$48,10,FALSE)=FALSE,0,HLOOKUP($AL24&amp;"aa",[11]Feuil1!$A$27:$EP$48,10,FALSE))</f>
        <v>2</v>
      </c>
      <c r="BC24" s="706">
        <f>IF(OR(HLOOKUP($AL24&amp;"a",[11]Feuil1!$A$27:$EP$48,11,FALSE)=FALSE,HLOOKUP($AL24&amp;"a",[11]Feuil1!$A$27:$EP$48,11,FALSE)=""),0,HLOOKUP($AL24&amp;"a",[11]Feuil1!$A$27:$EP$48,11,FALSE))</f>
        <v>0</v>
      </c>
      <c r="BD24" s="706">
        <f>IF(HLOOKUP($AL24&amp;"aa",[11]Feuil1!$A$27:$EP$48,11,FALSE)=FALSE,0,HLOOKUP($AL24&amp;"aa",[11]Feuil1!$A$27:$EP$48,11,FALSE))</f>
        <v>4</v>
      </c>
      <c r="BE24" s="706">
        <f>IF(OR(HLOOKUP($AL24&amp;"a",[11]Feuil1!$A$27:$EP$48,12,FALSE)=FALSE,HLOOKUP($AL24&amp;"a",[11]Feuil1!$A$27:$EP$48,12,FALSE)=""),0,HLOOKUP($AL24&amp;"a",[11]Feuil1!$A$27:$EP$48,12,FALSE))</f>
        <v>0</v>
      </c>
      <c r="BF24" s="706">
        <f>IF(HLOOKUP($AL24&amp;"aa",[11]Feuil1!$A$27:$EP$48,12,FALSE)=FALSE,0,HLOOKUP($AL24&amp;"aa",[11]Feuil1!$A$27:$EP$48,12,FALSE))</f>
        <v>1</v>
      </c>
      <c r="BG24" s="706">
        <f>IF(OR(HLOOKUP($AL24&amp;"a",[11]Feuil1!$A$27:$EP$48,13,FALSE)=FALSE,HLOOKUP($AL24&amp;"a",[11]Feuil1!$A$27:$EP$48,13,FALSE)=""),0,HLOOKUP($AL24&amp;"a",[11]Feuil1!$A$27:$EP$48,13,FALSE))</f>
        <v>0</v>
      </c>
      <c r="BH24" s="706">
        <f>IF(HLOOKUP($AL24&amp;"aa",[11]Feuil1!$A$27:$EP$48,13,FALSE)=FALSE,0,HLOOKUP($AL24&amp;"aa",[11]Feuil1!$A$27:$EP$48,13,FALSE))</f>
        <v>0</v>
      </c>
      <c r="BI24" s="706">
        <f>IF(OR(HLOOKUP($AL24&amp;"a",[11]Feuil1!$A$27:$EP$48,14,FALSE)=FALSE,HLOOKUP($AL24&amp;"a",[11]Feuil1!$A$27:$EP$48,14,FALSE)=""),0,HLOOKUP($AL24&amp;"a",[11]Feuil1!$A$27:$EP$48,14,FALSE))</f>
        <v>0</v>
      </c>
      <c r="BJ24" s="706">
        <f>IF(HLOOKUP($AL24&amp;"aa",[11]Feuil1!$A$27:$EP$48,14,FALSE)=FALSE,0,HLOOKUP($AL24&amp;"aa",[11]Feuil1!$A$27:$EP$48,14,FALSE))</f>
        <v>0</v>
      </c>
      <c r="BK24" s="706">
        <f>IF(OR(HLOOKUP($AL24&amp;"a",[11]Feuil1!$A$27:$EP$48,15,FALSE)=FALSE,HLOOKUP($AL24&amp;"a",[11]Feuil1!$A$27:$EP$48,15,FALSE)=""),0,HLOOKUP($AL24&amp;"a",[11]Feuil1!$A$27:$EP$48,15,FALSE))</f>
        <v>0</v>
      </c>
      <c r="BL24" s="706">
        <f>IF(HLOOKUP($AL24&amp;"aa",[11]Feuil1!$A$27:$EP$48,15,FALSE)=FALSE,0,HLOOKUP($AL24&amp;"aa",[11]Feuil1!$A$27:$EP$48,15,FALSE))</f>
        <v>0</v>
      </c>
      <c r="BM24" s="706">
        <f>IF(OR(HLOOKUP($AL24&amp;"a",[11]Feuil1!$A$27:$EP$48,16,FALSE)=FALSE,HLOOKUP($AL24&amp;"a",[11]Feuil1!$A$27:$EP$48,16,FALSE)=""),0,HLOOKUP($AL24&amp;"a",[11]Feuil1!$A$27:$EP$48,16,FALSE))</f>
        <v>0</v>
      </c>
      <c r="BN24" s="706">
        <f>IF(HLOOKUP($AL24&amp;"aa",[11]Feuil1!$A$27:$EP$48,16,FALSE)=FALSE,0,HLOOKUP($AL24&amp;"aa",[11]Feuil1!$A$27:$EP$48,16,FALSE))</f>
        <v>0</v>
      </c>
      <c r="BO24" s="706">
        <f>IF(OR(HLOOKUP($AL24&amp;"a",[11]Feuil1!$A$27:$EP$48,17,FALSE)=FALSE,HLOOKUP($AL24&amp;"a",[11]Feuil1!$A$27:$EP$48,17,FALSE)=""),0,HLOOKUP($AL24&amp;"a",[11]Feuil1!$A$27:$EP$48,17,FALSE))</f>
        <v>0</v>
      </c>
      <c r="BP24" s="706">
        <f>IF(HLOOKUP($AL24&amp;"aa",[11]Feuil1!$A$27:$EP$48,17,FALSE)=FALSE,0,HLOOKUP($AL24&amp;"aa",[11]Feuil1!$A$27:$EP$48,17,FALSE))</f>
        <v>0</v>
      </c>
      <c r="BQ24" s="706">
        <f>IF(OR(HLOOKUP($AL24&amp;"a",[11]Feuil1!$A$27:$EP$48,18,FALSE)=FALSE,HLOOKUP($AL24&amp;"a",[11]Feuil1!$A$27:$EP$48,18,FALSE)=""),0,HLOOKUP($AL24&amp;"a",[11]Feuil1!$A$27:$EP$48,18,FALSE))</f>
        <v>0</v>
      </c>
      <c r="BR24" s="706">
        <f>IF(HLOOKUP($AL24&amp;"aa",[11]Feuil1!$A$27:$EP$48,18,FALSE)=FALSE,0,HLOOKUP($AL24&amp;"aa",[11]Feuil1!$A$27:$EP$48,18,FALSE))</f>
        <v>0</v>
      </c>
      <c r="BS24" s="707">
        <f t="shared" si="29"/>
        <v>8.3636363636363633</v>
      </c>
      <c r="BT24" s="707">
        <f t="shared" si="30"/>
        <v>11.111111111111111</v>
      </c>
      <c r="BU24" s="707">
        <f t="shared" si="31"/>
        <v>10.068965517241379</v>
      </c>
      <c r="BV24" s="708">
        <f t="shared" ca="1" si="32"/>
        <v>11</v>
      </c>
      <c r="BW24" s="708">
        <f t="shared" ca="1" si="33"/>
        <v>18</v>
      </c>
      <c r="BX24" t="str">
        <f t="shared" si="34"/>
        <v>COUTURE Christophe</v>
      </c>
      <c r="BY24" s="709">
        <v>9</v>
      </c>
      <c r="BZ24" s="710" t="s">
        <v>540</v>
      </c>
      <c r="CA24" s="711" t="s">
        <v>541</v>
      </c>
      <c r="CB24" s="709">
        <v>10</v>
      </c>
      <c r="CC24" s="712" t="s">
        <v>542</v>
      </c>
      <c r="CD24" s="709" t="s">
        <v>517</v>
      </c>
      <c r="CE24" s="591" t="str">
        <f t="shared" si="35"/>
        <v>1090.00</v>
      </c>
      <c r="CF24" s="561"/>
      <c r="CG24" s="561"/>
      <c r="CH24" s="561"/>
      <c r="CI24" s="714"/>
      <c r="CK24" s="715">
        <f t="shared" si="36"/>
        <v>9</v>
      </c>
      <c r="CL24" s="591">
        <f t="shared" si="17"/>
        <v>0</v>
      </c>
      <c r="CM24" s="716">
        <f t="shared" si="18"/>
        <v>-2.0130999999998949</v>
      </c>
      <c r="CN24" s="716">
        <f t="shared" si="18"/>
        <v>9</v>
      </c>
      <c r="CO24" s="716">
        <f t="shared" si="18"/>
        <v>0.40000000000009095</v>
      </c>
      <c r="CP24" s="716">
        <f t="shared" si="18"/>
        <v>-25.400000000000091</v>
      </c>
      <c r="CQ24" s="716">
        <f t="shared" si="18"/>
        <v>6</v>
      </c>
      <c r="CR24" s="716">
        <f t="shared" si="18"/>
        <v>-21</v>
      </c>
      <c r="CS24" s="716">
        <f t="shared" si="18"/>
        <v>-10</v>
      </c>
      <c r="CT24" s="716">
        <f t="shared" si="18"/>
        <v>-5</v>
      </c>
      <c r="CU24" s="716">
        <f t="shared" si="18"/>
        <v>0</v>
      </c>
      <c r="CV24" s="717" t="str">
        <f t="shared" si="37"/>
        <v>faux</v>
      </c>
      <c r="CW24" s="718">
        <f>IF(E24=0,"",VLOOKUP(B24,[10]liste!AU:BD,10,FALSE))</f>
        <v>2</v>
      </c>
      <c r="CX24" s="719">
        <f t="shared" si="19"/>
        <v>1035</v>
      </c>
      <c r="CY24" s="720">
        <f t="shared" si="38"/>
        <v>10</v>
      </c>
      <c r="CZ24" s="721"/>
      <c r="DA24" s="721"/>
      <c r="DB24" s="719"/>
      <c r="DC24" s="722" t="str">
        <f t="shared" ca="1" si="20"/>
        <v/>
      </c>
      <c r="DE24" s="723">
        <f t="shared" si="21"/>
        <v>1083.0130999999999</v>
      </c>
      <c r="DF24" s="723">
        <f t="shared" si="22"/>
        <v>1035</v>
      </c>
      <c r="DG24" s="697" t="str">
        <f t="shared" si="23"/>
        <v>Couture Christophe</v>
      </c>
      <c r="DH24" s="724">
        <f t="shared" si="24"/>
        <v>-3</v>
      </c>
      <c r="DI24" s="724">
        <f t="shared" si="39"/>
        <v>2</v>
      </c>
      <c r="DJ24" s="719">
        <f t="shared" si="25"/>
        <v>1065</v>
      </c>
      <c r="DK24" s="719" t="str">
        <f t="shared" si="26"/>
        <v/>
      </c>
      <c r="DL24" s="719" t="str">
        <f t="shared" si="40"/>
        <v/>
      </c>
      <c r="DM24" s="719"/>
      <c r="DN24" s="719"/>
      <c r="DO24" s="719"/>
      <c r="DP24" s="720">
        <f t="shared" si="41"/>
        <v>10</v>
      </c>
      <c r="DQ24" s="591">
        <f ca="1">VLOOKUP(DG24,[10]résultats!$A$2:$DE$70,109,FALSE)</f>
        <v>11</v>
      </c>
      <c r="DR24" s="591">
        <f ca="1">VLOOKUP(DG24,[10]résultats!$A$2:$DG$70,111,FALSE)</f>
        <v>29</v>
      </c>
      <c r="DT24" s="591">
        <f t="shared" si="42"/>
        <v>11</v>
      </c>
      <c r="DU24" s="591">
        <f t="shared" si="43"/>
        <v>12</v>
      </c>
    </row>
    <row r="25" spans="1:125" s="591" customFormat="1" ht="23.1" customHeight="1">
      <c r="A25" s="308">
        <f t="shared" si="9"/>
        <v>10</v>
      </c>
      <c r="B25" s="297" t="str">
        <f>IF(E25=0,"",VLOOKUP(E25,[10]liste!AM:AN,2,FALSE))</f>
        <v>Zaragoza José</v>
      </c>
      <c r="C25" s="298">
        <f>IF(E25=0,"",VLOOKUP(B25,[10]liste!AN:AP,3,FALSE))</f>
        <v>10</v>
      </c>
      <c r="D25" s="691">
        <f t="shared" si="10"/>
        <v>10</v>
      </c>
      <c r="E25" s="692">
        <f>LARGE([10]liste!AM:AM,10)</f>
        <v>1067.068</v>
      </c>
      <c r="F25" s="693">
        <v>1077</v>
      </c>
      <c r="G25" s="693">
        <v>1077.0999999999999</v>
      </c>
      <c r="H25" s="693">
        <v>1078</v>
      </c>
      <c r="I25" s="692">
        <v>1072</v>
      </c>
      <c r="J25" s="693">
        <v>1078</v>
      </c>
      <c r="K25" s="693">
        <v>1069</v>
      </c>
      <c r="L25" s="693">
        <v>1062</v>
      </c>
      <c r="M25" s="692">
        <v>1074</v>
      </c>
      <c r="N25" s="692">
        <v>1074</v>
      </c>
      <c r="O25" s="694"/>
      <c r="P25" s="695">
        <f t="shared" ca="1" si="11"/>
        <v>0</v>
      </c>
      <c r="Q25" s="170">
        <f t="shared" si="12"/>
        <v>6.9320000000000164</v>
      </c>
      <c r="R25" s="696">
        <f ca="1">IF(U25&lt;MAX(U$16:U$81)/6.2,"NS",IF(B25="",0,VLOOKUP(B25,[10]résultats!AX:DH,63,FALSE)))</f>
        <v>0.91668285926808657</v>
      </c>
      <c r="S25" s="697" t="str">
        <f t="shared" si="13"/>
        <v>Zaragoza José</v>
      </c>
      <c r="T25" s="171">
        <f t="shared" ca="1" si="14"/>
        <v>33</v>
      </c>
      <c r="U25" s="172">
        <f t="shared" ca="1" si="14"/>
        <v>36</v>
      </c>
      <c r="V25" s="292">
        <f ca="1">IF(B25="",0,HLOOKUP(B25&amp;"a",[11]Feuil1!$A$27:$FX$48,20,FALSE)+RAND()*0.0001)</f>
        <v>1.1082890234383247E-6</v>
      </c>
      <c r="W25" s="293">
        <f ca="1">IF(B25="",0,HLOOKUP(B25&amp;"a",[11]Feuil1!$A$27:$FX$48,21,FALSE))+RAND()*0.0001</f>
        <v>2.0000840899300276</v>
      </c>
      <c r="X25" s="725">
        <f t="shared" si="27"/>
        <v>702</v>
      </c>
      <c r="Y25" s="701">
        <f t="shared" si="15"/>
        <v>1078</v>
      </c>
      <c r="Z25" s="631">
        <f>'[10] joueur de l''année'!Z48</f>
        <v>10</v>
      </c>
      <c r="AA25" s="963" t="str">
        <f ca="1">'[10] joueur de l''année'!AA48</f>
        <v>Mierzwa</v>
      </c>
      <c r="AB25" s="1151">
        <f ca="1">'[10] joueur de l''année'!AC48</f>
        <v>18.606349785140406</v>
      </c>
      <c r="AC25" s="967"/>
      <c r="AD25" s="966" t="str">
        <f ca="1">'[10] joueur de l''année'!AA27</f>
        <v>Nicolas Jérémy</v>
      </c>
      <c r="AE25" s="303">
        <f ca="1">IF(AD25=0,"",VLOOKUP(AD25,'[10] joueur de l''année'!$A$3:$T$100,19,FALSE))</f>
        <v>37.960045568691648</v>
      </c>
      <c r="AF25" s="561"/>
      <c r="AH25" s="703" t="str">
        <f ca="1">[10]cal.Ph1!P10</f>
        <v/>
      </c>
      <c r="AI25" s="704">
        <f ca="1">[10]cal.Ph1!O10</f>
        <v>50000</v>
      </c>
      <c r="AJ25" s="677"/>
      <c r="AK25" s="677">
        <f t="shared" si="28"/>
        <v>33</v>
      </c>
      <c r="AL25" s="705" t="str">
        <f t="shared" si="16"/>
        <v>Zaragoza José</v>
      </c>
      <c r="AM25" s="706">
        <f>IF(OR(HLOOKUP($AL25&amp;"a",[11]Feuil1!$A$27:$EP$48,3,FALSE)=FALSE,HLOOKUP($AL25&amp;"a",[11]Feuil1!$A$27:$EP$48,3,FALSE)=""),0,HLOOKUP($AL25&amp;"a",[11]Feuil1!$A$27:$EP$48,3,FALSE))</f>
        <v>14</v>
      </c>
      <c r="AN25" s="706">
        <f>IF(HLOOKUP($AL25&amp;"aa",[11]Feuil1!$A$27:$EP$48,3,FALSE)=FALSE,0,HLOOKUP($AL25&amp;"aa",[11]Feuil1!$A$27:$EP$48,3,FALSE))</f>
        <v>0</v>
      </c>
      <c r="AO25" s="706">
        <f>IF(OR(HLOOKUP($AL25&amp;"a",[11]Feuil1!$A$27:$EP$48,4,FALSE)=FALSE,HLOOKUP($AL25&amp;"a",[11]Feuil1!$A$27:$EP$48,4,FALSE)=""),0,HLOOKUP($AL25&amp;"a",[11]Feuil1!$A$27:$EP$48,4,FALSE))</f>
        <v>4</v>
      </c>
      <c r="AP25" s="706">
        <f>IF(HLOOKUP($AL25&amp;"aa",[11]Feuil1!$A$27:$EP$48,4,FALSE)=FALSE,0,HLOOKUP($AL25&amp;"aa",[11]Feuil1!$A$27:$EP$48,4,FALSE))</f>
        <v>1</v>
      </c>
      <c r="AQ25" s="706">
        <f>IF(OR(HLOOKUP($AL25&amp;"a",[11]Feuil1!$A$27:$EP$48,5,FALSE)=FALSE,HLOOKUP($AL25&amp;"a",[11]Feuil1!$A$27:$EP$48,5,FALSE)=""),0,HLOOKUP($AL25&amp;"a",[11]Feuil1!$A$27:$EP$48,5,FALSE))</f>
        <v>4</v>
      </c>
      <c r="AR25" s="706">
        <f>IF(HLOOKUP($AL25&amp;"aa",[11]Feuil1!$A$27:$EP$48,5,FALSE)=FALSE,0,HLOOKUP($AL25&amp;"aa",[11]Feuil1!$A$27:$EP$48,5,FALSE))</f>
        <v>0</v>
      </c>
      <c r="AS25" s="706">
        <f>IF(OR(HLOOKUP($AL25&amp;"a",[11]Feuil1!$A$27:$EP$48,6,FALSE)=FALSE,HLOOKUP($AL25&amp;"a",[11]Feuil1!$A$27:$EP$48,6,FALSE)=""),0,HLOOKUP($AL25&amp;"a",[11]Feuil1!$A$27:$EP$48,6,FALSE))</f>
        <v>6</v>
      </c>
      <c r="AT25" s="706">
        <f>IF(HLOOKUP($AL25&amp;"aa",[11]Feuil1!$A$27:$EP$48,6,FALSE)=FALSE,0,HLOOKUP($AL25&amp;"aa",[11]Feuil1!$A$27:$EP$48,6,FALSE))</f>
        <v>0</v>
      </c>
      <c r="AU25" s="706">
        <f>IF(OR(HLOOKUP($AL25&amp;"a",[11]Feuil1!$A$27:$EP$48,7,FALSE)=FALSE,HLOOKUP($AL25&amp;"a",[11]Feuil1!$A$27:$EP$48,7,FALSE)=""),0,HLOOKUP($AL25&amp;"a",[11]Feuil1!$A$27:$EP$48,7,FALSE))</f>
        <v>2</v>
      </c>
      <c r="AV25" s="706">
        <f>IF(HLOOKUP($AL25&amp;"aa",[11]Feuil1!$A$27:$EP$48,7,FALSE)=FALSE,0,HLOOKUP($AL25&amp;"aa",[11]Feuil1!$A$27:$EP$48,7,FALSE))</f>
        <v>0</v>
      </c>
      <c r="AW25" s="706">
        <f>IF(OR(HLOOKUP($AL25&amp;"a",[11]Feuil1!$A$27:$EP$48,8,FALSE)=FALSE,HLOOKUP($AL25&amp;"a",[11]Feuil1!$A$27:$EP$48,8,FALSE)=""),0,HLOOKUP($AL25&amp;"a",[11]Feuil1!$A$27:$EP$48,8,FALSE))</f>
        <v>0</v>
      </c>
      <c r="AX25" s="706">
        <f>IF(HLOOKUP($AL25&amp;"aa",[11]Feuil1!$A$27:$EP$48,8,FALSE)=FALSE,0,HLOOKUP($AL25&amp;"aa",[11]Feuil1!$A$27:$EP$48,8,FALSE))</f>
        <v>1</v>
      </c>
      <c r="AY25" s="706">
        <f>IF(OR(HLOOKUP($AL25&amp;"a",[11]Feuil1!$A$27:$EP$48,9,FALSE)=FALSE,HLOOKUP($AL25&amp;"a",[11]Feuil1!$A$27:$EP$48,9,FALSE)=""),0,HLOOKUP($AL25&amp;"a",[11]Feuil1!$A$27:$EP$48,9,FALSE))</f>
        <v>0</v>
      </c>
      <c r="AZ25" s="706">
        <f>IF(HLOOKUP($AL25&amp;"aa",[11]Feuil1!$A$27:$EP$48,9,FALSE)=FALSE,0,HLOOKUP($AL25&amp;"aa",[11]Feuil1!$A$27:$EP$48,9,FALSE))</f>
        <v>1</v>
      </c>
      <c r="BA25" s="706">
        <f>IF(OR(HLOOKUP($AL25&amp;"a",[11]Feuil1!$A$27:$EP$48,10,FALSE)=FALSE,HLOOKUP($AL25&amp;"a",[11]Feuil1!$A$27:$EP$48,10,FALSE)=""),0,HLOOKUP($AL25&amp;"a",[11]Feuil1!$A$27:$EP$48,10,FALSE))</f>
        <v>0</v>
      </c>
      <c r="BB25" s="706">
        <f>IF(HLOOKUP($AL25&amp;"aa",[11]Feuil1!$A$27:$EP$48,10,FALSE)=FALSE,0,HLOOKUP($AL25&amp;"aa",[11]Feuil1!$A$27:$EP$48,10,FALSE))</f>
        <v>0</v>
      </c>
      <c r="BC25" s="706">
        <f>IF(OR(HLOOKUP($AL25&amp;"a",[11]Feuil1!$A$27:$EP$48,11,FALSE)=FALSE,HLOOKUP($AL25&amp;"a",[11]Feuil1!$A$27:$EP$48,11,FALSE)=""),0,HLOOKUP($AL25&amp;"a",[11]Feuil1!$A$27:$EP$48,11,FALSE))</f>
        <v>0</v>
      </c>
      <c r="BD25" s="706">
        <f>IF(HLOOKUP($AL25&amp;"aa",[11]Feuil1!$A$27:$EP$48,11,FALSE)=FALSE,0,HLOOKUP($AL25&amp;"aa",[11]Feuil1!$A$27:$EP$48,11,FALSE))</f>
        <v>0</v>
      </c>
      <c r="BE25" s="706">
        <f>IF(OR(HLOOKUP($AL25&amp;"a",[11]Feuil1!$A$27:$EP$48,12,FALSE)=FALSE,HLOOKUP($AL25&amp;"a",[11]Feuil1!$A$27:$EP$48,12,FALSE)=""),0,HLOOKUP($AL25&amp;"a",[11]Feuil1!$A$27:$EP$48,12,FALSE))</f>
        <v>0</v>
      </c>
      <c r="BF25" s="706">
        <f>IF(HLOOKUP($AL25&amp;"aa",[11]Feuil1!$A$27:$EP$48,12,FALSE)=FALSE,0,HLOOKUP($AL25&amp;"aa",[11]Feuil1!$A$27:$EP$48,12,FALSE))</f>
        <v>0</v>
      </c>
      <c r="BG25" s="706">
        <f>IF(OR(HLOOKUP($AL25&amp;"a",[11]Feuil1!$A$27:$EP$48,13,FALSE)=FALSE,HLOOKUP($AL25&amp;"a",[11]Feuil1!$A$27:$EP$48,13,FALSE)=""),0,HLOOKUP($AL25&amp;"a",[11]Feuil1!$A$27:$EP$48,13,FALSE))</f>
        <v>0</v>
      </c>
      <c r="BH25" s="706">
        <f>IF(HLOOKUP($AL25&amp;"aa",[11]Feuil1!$A$27:$EP$48,13,FALSE)=FALSE,0,HLOOKUP($AL25&amp;"aa",[11]Feuil1!$A$27:$EP$48,13,FALSE))</f>
        <v>0</v>
      </c>
      <c r="BI25" s="706">
        <f>IF(OR(HLOOKUP($AL25&amp;"a",[11]Feuil1!$A$27:$EP$48,14,FALSE)=FALSE,HLOOKUP($AL25&amp;"a",[11]Feuil1!$A$27:$EP$48,14,FALSE)=""),0,HLOOKUP($AL25&amp;"a",[11]Feuil1!$A$27:$EP$48,14,FALSE))</f>
        <v>0</v>
      </c>
      <c r="BJ25" s="706">
        <f>IF(HLOOKUP($AL25&amp;"aa",[11]Feuil1!$A$27:$EP$48,14,FALSE)=FALSE,0,HLOOKUP($AL25&amp;"aa",[11]Feuil1!$A$27:$EP$48,14,FALSE))</f>
        <v>0</v>
      </c>
      <c r="BK25" s="706">
        <f>IF(OR(HLOOKUP($AL25&amp;"a",[11]Feuil1!$A$27:$EP$48,15,FALSE)=FALSE,HLOOKUP($AL25&amp;"a",[11]Feuil1!$A$27:$EP$48,15,FALSE)=""),0,HLOOKUP($AL25&amp;"a",[11]Feuil1!$A$27:$EP$48,15,FALSE))</f>
        <v>0</v>
      </c>
      <c r="BL25" s="706">
        <f>IF(HLOOKUP($AL25&amp;"aa",[11]Feuil1!$A$27:$EP$48,15,FALSE)=FALSE,0,HLOOKUP($AL25&amp;"aa",[11]Feuil1!$A$27:$EP$48,15,FALSE))</f>
        <v>0</v>
      </c>
      <c r="BM25" s="706">
        <f>IF(OR(HLOOKUP($AL25&amp;"a",[11]Feuil1!$A$27:$EP$48,16,FALSE)=FALSE,HLOOKUP($AL25&amp;"a",[11]Feuil1!$A$27:$EP$48,16,FALSE)=""),0,HLOOKUP($AL25&amp;"a",[11]Feuil1!$A$27:$EP$48,16,FALSE))</f>
        <v>0</v>
      </c>
      <c r="BN25" s="706">
        <f>IF(HLOOKUP($AL25&amp;"aa",[11]Feuil1!$A$27:$EP$48,16,FALSE)=FALSE,0,HLOOKUP($AL25&amp;"aa",[11]Feuil1!$A$27:$EP$48,16,FALSE))</f>
        <v>0</v>
      </c>
      <c r="BO25" s="706">
        <f>IF(OR(HLOOKUP($AL25&amp;"a",[11]Feuil1!$A$27:$EP$48,17,FALSE)=FALSE,HLOOKUP($AL25&amp;"a",[11]Feuil1!$A$27:$EP$48,17,FALSE)=""),0,HLOOKUP($AL25&amp;"a",[11]Feuil1!$A$27:$EP$48,17,FALSE))</f>
        <v>0</v>
      </c>
      <c r="BP25" s="706">
        <f>IF(HLOOKUP($AL25&amp;"aa",[11]Feuil1!$A$27:$EP$48,17,FALSE)=FALSE,0,HLOOKUP($AL25&amp;"aa",[11]Feuil1!$A$27:$EP$48,17,FALSE))</f>
        <v>0</v>
      </c>
      <c r="BQ25" s="706">
        <f>IF(OR(HLOOKUP($AL25&amp;"a",[11]Feuil1!$A$27:$EP$48,18,FALSE)=FALSE,HLOOKUP($AL25&amp;"a",[11]Feuil1!$A$27:$EP$48,18,FALSE)=""),0,HLOOKUP($AL25&amp;"a",[11]Feuil1!$A$27:$EP$48,18,FALSE))</f>
        <v>0</v>
      </c>
      <c r="BR25" s="706">
        <f>IF(HLOOKUP($AL25&amp;"aa",[11]Feuil1!$A$27:$EP$48,18,FALSE)=FALSE,0,HLOOKUP($AL25&amp;"aa",[11]Feuil1!$A$27:$EP$48,18,FALSE))</f>
        <v>0</v>
      </c>
      <c r="BS25" s="707">
        <f t="shared" si="29"/>
        <v>6.2666666666666666</v>
      </c>
      <c r="BT25" s="707">
        <f t="shared" si="30"/>
        <v>9</v>
      </c>
      <c r="BU25" s="707">
        <f t="shared" si="31"/>
        <v>6.5151515151515156</v>
      </c>
      <c r="BV25" s="708">
        <f t="shared" ca="1" si="32"/>
        <v>33</v>
      </c>
      <c r="BW25" s="708">
        <f t="shared" ca="1" si="33"/>
        <v>3</v>
      </c>
      <c r="BX25" t="str">
        <f t="shared" si="34"/>
        <v>CRAINEGUY David</v>
      </c>
      <c r="BY25" s="726">
        <v>10</v>
      </c>
      <c r="BZ25" s="727" t="s">
        <v>543</v>
      </c>
      <c r="CA25" s="728" t="s">
        <v>544</v>
      </c>
      <c r="CB25" s="726">
        <v>6</v>
      </c>
      <c r="CC25" s="729" t="s">
        <v>545</v>
      </c>
      <c r="CD25" s="726" t="s">
        <v>546</v>
      </c>
      <c r="CE25" s="591" t="str">
        <f t="shared" si="35"/>
        <v>1075.00</v>
      </c>
      <c r="CF25" s="561"/>
      <c r="CG25" s="561"/>
      <c r="CH25" s="561"/>
      <c r="CI25" s="714"/>
      <c r="CK25" s="715">
        <f t="shared" si="36"/>
        <v>12</v>
      </c>
      <c r="CL25" s="591">
        <f t="shared" si="17"/>
        <v>0</v>
      </c>
      <c r="CM25" s="716">
        <f t="shared" si="18"/>
        <v>9.9320000000000164</v>
      </c>
      <c r="CN25" s="716">
        <f t="shared" si="18"/>
        <v>9.9999999999909051E-2</v>
      </c>
      <c r="CO25" s="716">
        <f t="shared" si="18"/>
        <v>0.90000000000009095</v>
      </c>
      <c r="CP25" s="716">
        <f t="shared" si="18"/>
        <v>-6</v>
      </c>
      <c r="CQ25" s="716">
        <f t="shared" si="18"/>
        <v>6</v>
      </c>
      <c r="CR25" s="716">
        <f t="shared" si="18"/>
        <v>-9</v>
      </c>
      <c r="CS25" s="716">
        <f t="shared" si="18"/>
        <v>-7</v>
      </c>
      <c r="CT25" s="716">
        <f t="shared" si="18"/>
        <v>12</v>
      </c>
      <c r="CU25" s="716">
        <f t="shared" si="18"/>
        <v>0</v>
      </c>
      <c r="CV25" s="717" t="str">
        <f t="shared" si="37"/>
        <v>faux</v>
      </c>
      <c r="CW25" s="718">
        <f>IF(E25=0,"",VLOOKUP(B25,[10]liste!AU:BD,10,FALSE))</f>
        <v>2</v>
      </c>
      <c r="CX25" s="719">
        <f t="shared" si="19"/>
        <v>1074</v>
      </c>
      <c r="CY25" s="720">
        <f t="shared" si="38"/>
        <v>10</v>
      </c>
      <c r="CZ25" s="721"/>
      <c r="DA25" s="721"/>
      <c r="DB25" s="719"/>
      <c r="DC25" s="722" t="str">
        <f t="shared" ca="1" si="20"/>
        <v/>
      </c>
      <c r="DE25" s="723">
        <f t="shared" si="21"/>
        <v>1067.068</v>
      </c>
      <c r="DF25" s="723">
        <f t="shared" si="22"/>
        <v>1074</v>
      </c>
      <c r="DG25" s="697" t="str">
        <f t="shared" si="23"/>
        <v>Zaragoza José</v>
      </c>
      <c r="DH25" s="724">
        <f t="shared" si="24"/>
        <v>0</v>
      </c>
      <c r="DI25" s="724">
        <f t="shared" si="39"/>
        <v>2</v>
      </c>
      <c r="DJ25" s="719">
        <f t="shared" si="25"/>
        <v>1072</v>
      </c>
      <c r="DK25" s="719" t="str">
        <f t="shared" si="26"/>
        <v/>
      </c>
      <c r="DL25" s="719" t="str">
        <f t="shared" si="40"/>
        <v/>
      </c>
      <c r="DM25" s="719"/>
      <c r="DN25" s="719"/>
      <c r="DO25" s="719"/>
      <c r="DP25" s="720">
        <f t="shared" si="41"/>
        <v>10</v>
      </c>
      <c r="DQ25" s="591">
        <f ca="1">VLOOKUP(DG25,[10]résultats!$A$2:$DE$70,109,FALSE)</f>
        <v>33</v>
      </c>
      <c r="DR25" s="591">
        <f ca="1">VLOOKUP(DG25,[10]résultats!$A$2:$DG$70,111,FALSE)</f>
        <v>36</v>
      </c>
      <c r="DT25" s="591">
        <f t="shared" si="42"/>
        <v>10</v>
      </c>
      <c r="DU25" s="591">
        <f t="shared" si="43"/>
        <v>10</v>
      </c>
    </row>
    <row r="26" spans="1:125" s="591" customFormat="1" ht="23.1" customHeight="1">
      <c r="A26" s="308">
        <f t="shared" si="9"/>
        <v>17</v>
      </c>
      <c r="B26" s="297" t="str">
        <f>IF(E26=0,"",VLOOKUP(E26,[10]liste!AM:AN,2,FALSE))</f>
        <v>Baudais Luc</v>
      </c>
      <c r="C26" s="298">
        <f>IF(E26=0,"",VLOOKUP(B26,[10]liste!AN:AP,3,FALSE))</f>
        <v>10</v>
      </c>
      <c r="D26" s="691">
        <f t="shared" si="10"/>
        <v>9</v>
      </c>
      <c r="E26" s="692">
        <f>LARGE([10]liste!AM:AM,11)</f>
        <v>1056.02</v>
      </c>
      <c r="F26" s="693">
        <v>1031</v>
      </c>
      <c r="G26" s="693">
        <v>1009</v>
      </c>
      <c r="H26" s="693">
        <v>975</v>
      </c>
      <c r="I26" s="692">
        <v>986</v>
      </c>
      <c r="J26" s="693">
        <v>1002</v>
      </c>
      <c r="K26" s="693">
        <v>996</v>
      </c>
      <c r="L26" s="693">
        <v>973</v>
      </c>
      <c r="M26" s="692">
        <v>964</v>
      </c>
      <c r="N26" s="692">
        <v>964</v>
      </c>
      <c r="O26" s="694"/>
      <c r="P26" s="695">
        <f t="shared" ca="1" si="11"/>
        <v>0</v>
      </c>
      <c r="Q26" s="170">
        <f t="shared" si="12"/>
        <v>-92.019999999999982</v>
      </c>
      <c r="R26" s="696">
        <f ca="1">IF(U26&lt;MAX(U$16:U$81)/6.2,"NS",IF(B26="",0,VLOOKUP(B26,[10]résultats!AX:DH,63,FALSE)))</f>
        <v>0.40825363107661539</v>
      </c>
      <c r="S26" s="697" t="str">
        <f t="shared" si="13"/>
        <v>Baudais Luc</v>
      </c>
      <c r="T26" s="171">
        <f t="shared" ca="1" si="14"/>
        <v>20</v>
      </c>
      <c r="U26" s="172">
        <f t="shared" ca="1" si="14"/>
        <v>49</v>
      </c>
      <c r="V26" s="292">
        <f ca="1">IF(B26="",0,HLOOKUP(B26&amp;"a",[11]Feuil1!$A$27:$FX$48,20,FALSE)+RAND()*0.0001)</f>
        <v>6.0000564766558258</v>
      </c>
      <c r="W26" s="293">
        <f ca="1">IF(B26="",0,HLOOKUP(B26&amp;"a",[11]Feuil1!$A$27:$FX$48,21,FALSE))+RAND()*0.0001</f>
        <v>11.000091980839935</v>
      </c>
      <c r="X26" s="725">
        <f t="shared" si="27"/>
        <v>966</v>
      </c>
      <c r="Y26" s="701">
        <f t="shared" si="15"/>
        <v>1056.02</v>
      </c>
      <c r="AC26" s="964"/>
      <c r="AD26" s="637" t="str">
        <f ca="1">ROUND((VLOOKUP(AD16,[10]liste!$B$2:$M$100,12,FALSE)+VLOOKUP(AD17,[10]liste!$B$2:$M$100,12,FALSE)+VLOOKUP(AD18,[10]liste!$B$2:$M$100,12,FALSE)+VLOOKUP(AD19,[10]liste!$B$2:$M$100,12,FALSE)+VLOOKUP(AD20,[10]liste!$B$2:$M$100,12,FALSE)+VLOOKUP(AD21,[10]liste!$B$2:$M$100,12,FALSE)+VLOOKUP(AD22,[10]liste!$B$2:$M$100,12,FALSE)+VLOOKUP(AD23,[10]liste!$B$2:$M$100,12,FALSE)+VLOOKUP(AD24,[10]liste!$B$2:$M$100,12,FALSE)+VLOOKUP(AD25,[10]liste!$B$2:$M$100,12,FALSE))/10,0)&amp;" ans de moyenne"</f>
        <v>26 ans de moyenne</v>
      </c>
      <c r="AE26" s="731"/>
      <c r="AF26" s="731"/>
      <c r="AG26" s="731"/>
      <c r="AH26" s="731"/>
      <c r="AI26" s="731"/>
      <c r="AJ26" s="677"/>
      <c r="AK26" s="677">
        <f t="shared" si="28"/>
        <v>49</v>
      </c>
      <c r="AL26" s="705" t="str">
        <f t="shared" si="16"/>
        <v>Baudais Luc</v>
      </c>
      <c r="AM26" s="706">
        <f>IF(OR(HLOOKUP($AL26&amp;"a",[11]Feuil1!$A$27:$EP$48,3,FALSE)=FALSE,HLOOKUP($AL26&amp;"a",[11]Feuil1!$A$27:$EP$48,3,FALSE)=""),0,HLOOKUP($AL26&amp;"a",[11]Feuil1!$A$27:$EP$48,3,FALSE))</f>
        <v>2</v>
      </c>
      <c r="AN26" s="706">
        <f>IF(HLOOKUP($AL26&amp;"aa",[11]Feuil1!$A$27:$EP$48,3,FALSE)=FALSE,0,HLOOKUP($AL26&amp;"aa",[11]Feuil1!$A$27:$EP$48,3,FALSE))</f>
        <v>0</v>
      </c>
      <c r="AO26" s="706">
        <f>IF(OR(HLOOKUP($AL26&amp;"a",[11]Feuil1!$A$27:$EP$48,4,FALSE)=FALSE,HLOOKUP($AL26&amp;"a",[11]Feuil1!$A$27:$EP$48,4,FALSE)=""),0,HLOOKUP($AL26&amp;"a",[11]Feuil1!$A$27:$EP$48,4,FALSE))</f>
        <v>2</v>
      </c>
      <c r="AP26" s="706">
        <f>IF(HLOOKUP($AL26&amp;"aa",[11]Feuil1!$A$27:$EP$48,4,FALSE)=FALSE,0,HLOOKUP($AL26&amp;"aa",[11]Feuil1!$A$27:$EP$48,4,FALSE))</f>
        <v>1</v>
      </c>
      <c r="AQ26" s="706">
        <f>IF(OR(HLOOKUP($AL26&amp;"a",[11]Feuil1!$A$27:$EP$48,5,FALSE)=FALSE,HLOOKUP($AL26&amp;"a",[11]Feuil1!$A$27:$EP$48,5,FALSE)=""),0,HLOOKUP($AL26&amp;"a",[11]Feuil1!$A$27:$EP$48,5,FALSE))</f>
        <v>5</v>
      </c>
      <c r="AR26" s="706">
        <f>IF(HLOOKUP($AL26&amp;"aa",[11]Feuil1!$A$27:$EP$48,5,FALSE)=FALSE,0,HLOOKUP($AL26&amp;"aa",[11]Feuil1!$A$27:$EP$48,5,FALSE))</f>
        <v>1</v>
      </c>
      <c r="AS26" s="706">
        <f>IF(OR(HLOOKUP($AL26&amp;"a",[11]Feuil1!$A$27:$EP$48,6,FALSE)=FALSE,HLOOKUP($AL26&amp;"a",[11]Feuil1!$A$27:$EP$48,6,FALSE)=""),0,HLOOKUP($AL26&amp;"a",[11]Feuil1!$A$27:$EP$48,6,FALSE))</f>
        <v>2</v>
      </c>
      <c r="AT26" s="706">
        <f>IF(HLOOKUP($AL26&amp;"aa",[11]Feuil1!$A$27:$EP$48,6,FALSE)=FALSE,0,HLOOKUP($AL26&amp;"aa",[11]Feuil1!$A$27:$EP$48,6,FALSE))</f>
        <v>3</v>
      </c>
      <c r="AU26" s="706">
        <f>IF(OR(HLOOKUP($AL26&amp;"a",[11]Feuil1!$A$27:$EP$48,7,FALSE)=FALSE,HLOOKUP($AL26&amp;"a",[11]Feuil1!$A$27:$EP$48,7,FALSE)=""),0,HLOOKUP($AL26&amp;"a",[11]Feuil1!$A$27:$EP$48,7,FALSE))</f>
        <v>3</v>
      </c>
      <c r="AV26" s="706">
        <f>IF(HLOOKUP($AL26&amp;"aa",[11]Feuil1!$A$27:$EP$48,7,FALSE)=FALSE,0,HLOOKUP($AL26&amp;"aa",[11]Feuil1!$A$27:$EP$48,7,FALSE))</f>
        <v>7</v>
      </c>
      <c r="AW26" s="706">
        <f>IF(OR(HLOOKUP($AL26&amp;"a",[11]Feuil1!$A$27:$EP$48,8,FALSE)=FALSE,HLOOKUP($AL26&amp;"a",[11]Feuil1!$A$27:$EP$48,8,FALSE)=""),0,HLOOKUP($AL26&amp;"a",[11]Feuil1!$A$27:$EP$48,8,FALSE))</f>
        <v>5</v>
      </c>
      <c r="AX26" s="706">
        <f>IF(HLOOKUP($AL26&amp;"aa",[11]Feuil1!$A$27:$EP$48,8,FALSE)=FALSE,0,HLOOKUP($AL26&amp;"aa",[11]Feuil1!$A$27:$EP$48,8,FALSE))</f>
        <v>7</v>
      </c>
      <c r="AY26" s="706">
        <f>IF(OR(HLOOKUP($AL26&amp;"a",[11]Feuil1!$A$27:$EP$48,9,FALSE)=FALSE,HLOOKUP($AL26&amp;"a",[11]Feuil1!$A$27:$EP$48,9,FALSE)=""),0,HLOOKUP($AL26&amp;"a",[11]Feuil1!$A$27:$EP$48,9,FALSE))</f>
        <v>1</v>
      </c>
      <c r="AZ26" s="706">
        <f>IF(HLOOKUP($AL26&amp;"aa",[11]Feuil1!$A$27:$EP$48,9,FALSE)=FALSE,0,HLOOKUP($AL26&amp;"aa",[11]Feuil1!$A$27:$EP$48,9,FALSE))</f>
        <v>5</v>
      </c>
      <c r="BA26" s="706">
        <f>IF(OR(HLOOKUP($AL26&amp;"a",[11]Feuil1!$A$27:$EP$48,10,FALSE)=FALSE,HLOOKUP($AL26&amp;"a",[11]Feuil1!$A$27:$EP$48,10,FALSE)=""),0,HLOOKUP($AL26&amp;"a",[11]Feuil1!$A$27:$EP$48,10,FALSE))</f>
        <v>0</v>
      </c>
      <c r="BB26" s="706">
        <f>IF(HLOOKUP($AL26&amp;"aa",[11]Feuil1!$A$27:$EP$48,10,FALSE)=FALSE,0,HLOOKUP($AL26&amp;"aa",[11]Feuil1!$A$27:$EP$48,10,FALSE))</f>
        <v>4</v>
      </c>
      <c r="BC26" s="706">
        <f>IF(OR(HLOOKUP($AL26&amp;"a",[11]Feuil1!$A$27:$EP$48,11,FALSE)=FALSE,HLOOKUP($AL26&amp;"a",[11]Feuil1!$A$27:$EP$48,11,FALSE)=""),0,HLOOKUP($AL26&amp;"a",[11]Feuil1!$A$27:$EP$48,11,FALSE))</f>
        <v>0</v>
      </c>
      <c r="BD26" s="706">
        <f>IF(HLOOKUP($AL26&amp;"aa",[11]Feuil1!$A$27:$EP$48,11,FALSE)=FALSE,0,HLOOKUP($AL26&amp;"aa",[11]Feuil1!$A$27:$EP$48,11,FALSE))</f>
        <v>0</v>
      </c>
      <c r="BE26" s="706">
        <f>IF(OR(HLOOKUP($AL26&amp;"a",[11]Feuil1!$A$27:$EP$48,12,FALSE)=FALSE,HLOOKUP($AL26&amp;"a",[11]Feuil1!$A$27:$EP$48,12,FALSE)=""),0,HLOOKUP($AL26&amp;"a",[11]Feuil1!$A$27:$EP$48,12,FALSE))</f>
        <v>0</v>
      </c>
      <c r="BF26" s="706">
        <f>IF(HLOOKUP($AL26&amp;"aa",[11]Feuil1!$A$27:$EP$48,12,FALSE)=FALSE,0,HLOOKUP($AL26&amp;"aa",[11]Feuil1!$A$27:$EP$48,12,FALSE))</f>
        <v>0</v>
      </c>
      <c r="BG26" s="706">
        <f>IF(OR(HLOOKUP($AL26&amp;"a",[11]Feuil1!$A$27:$EP$48,13,FALSE)=FALSE,HLOOKUP($AL26&amp;"a",[11]Feuil1!$A$27:$EP$48,13,FALSE)=""),0,HLOOKUP($AL26&amp;"a",[11]Feuil1!$A$27:$EP$48,13,FALSE))</f>
        <v>0</v>
      </c>
      <c r="BH26" s="706">
        <f>IF(HLOOKUP($AL26&amp;"aa",[11]Feuil1!$A$27:$EP$48,13,FALSE)=FALSE,0,HLOOKUP($AL26&amp;"aa",[11]Feuil1!$A$27:$EP$48,13,FALSE))</f>
        <v>1</v>
      </c>
      <c r="BI26" s="706">
        <f>IF(OR(HLOOKUP($AL26&amp;"a",[11]Feuil1!$A$27:$EP$48,14,FALSE)=FALSE,HLOOKUP($AL26&amp;"a",[11]Feuil1!$A$27:$EP$48,14,FALSE)=""),0,HLOOKUP($AL26&amp;"a",[11]Feuil1!$A$27:$EP$48,14,FALSE))</f>
        <v>0</v>
      </c>
      <c r="BJ26" s="706">
        <f>IF(HLOOKUP($AL26&amp;"aa",[11]Feuil1!$A$27:$EP$48,14,FALSE)=FALSE,0,HLOOKUP($AL26&amp;"aa",[11]Feuil1!$A$27:$EP$48,14,FALSE))</f>
        <v>0</v>
      </c>
      <c r="BK26" s="706">
        <f>IF(OR(HLOOKUP($AL26&amp;"a",[11]Feuil1!$A$27:$EP$48,15,FALSE)=FALSE,HLOOKUP($AL26&amp;"a",[11]Feuil1!$A$27:$EP$48,15,FALSE)=""),0,HLOOKUP($AL26&amp;"a",[11]Feuil1!$A$27:$EP$48,15,FALSE))</f>
        <v>0</v>
      </c>
      <c r="BL26" s="706">
        <f>IF(HLOOKUP($AL26&amp;"aa",[11]Feuil1!$A$27:$EP$48,15,FALSE)=FALSE,0,HLOOKUP($AL26&amp;"aa",[11]Feuil1!$A$27:$EP$48,15,FALSE))</f>
        <v>0</v>
      </c>
      <c r="BM26" s="706">
        <f>IF(OR(HLOOKUP($AL26&amp;"a",[11]Feuil1!$A$27:$EP$48,16,FALSE)=FALSE,HLOOKUP($AL26&amp;"a",[11]Feuil1!$A$27:$EP$48,16,FALSE)=""),0,HLOOKUP($AL26&amp;"a",[11]Feuil1!$A$27:$EP$48,16,FALSE))</f>
        <v>0</v>
      </c>
      <c r="BN26" s="706">
        <f>IF(HLOOKUP($AL26&amp;"aa",[11]Feuil1!$A$27:$EP$48,16,FALSE)=FALSE,0,HLOOKUP($AL26&amp;"aa",[11]Feuil1!$A$27:$EP$48,16,FALSE))</f>
        <v>0</v>
      </c>
      <c r="BO26" s="706">
        <f>IF(OR(HLOOKUP($AL26&amp;"a",[11]Feuil1!$A$27:$EP$48,17,FALSE)=FALSE,HLOOKUP($AL26&amp;"a",[11]Feuil1!$A$27:$EP$48,17,FALSE)=""),0,HLOOKUP($AL26&amp;"a",[11]Feuil1!$A$27:$EP$48,17,FALSE))</f>
        <v>0</v>
      </c>
      <c r="BP26" s="706">
        <f>IF(HLOOKUP($AL26&amp;"aa",[11]Feuil1!$A$27:$EP$48,17,FALSE)=FALSE,0,HLOOKUP($AL26&amp;"aa",[11]Feuil1!$A$27:$EP$48,17,FALSE))</f>
        <v>0</v>
      </c>
      <c r="BQ26" s="706">
        <f>IF(OR(HLOOKUP($AL26&amp;"a",[11]Feuil1!$A$27:$EP$48,18,FALSE)=FALSE,HLOOKUP($AL26&amp;"a",[11]Feuil1!$A$27:$EP$48,18,FALSE)=""),0,HLOOKUP($AL26&amp;"a",[11]Feuil1!$A$27:$EP$48,18,FALSE))</f>
        <v>0</v>
      </c>
      <c r="BR26" s="706">
        <f>IF(HLOOKUP($AL26&amp;"aa",[11]Feuil1!$A$27:$EP$48,18,FALSE)=FALSE,0,HLOOKUP($AL26&amp;"aa",[11]Feuil1!$A$27:$EP$48,18,FALSE))</f>
        <v>0</v>
      </c>
      <c r="BS26" s="707">
        <f t="shared" si="29"/>
        <v>8.0500000000000007</v>
      </c>
      <c r="BT26" s="707">
        <f t="shared" si="30"/>
        <v>9.931034482758621</v>
      </c>
      <c r="BU26" s="707">
        <f t="shared" si="31"/>
        <v>9.1632653061224492</v>
      </c>
      <c r="BV26" s="708">
        <f t="shared" ca="1" si="32"/>
        <v>20</v>
      </c>
      <c r="BW26" s="708">
        <f t="shared" ca="1" si="33"/>
        <v>29</v>
      </c>
      <c r="BX26" t="str">
        <f t="shared" si="34"/>
        <v>FLEGEAU Matthieu</v>
      </c>
      <c r="BY26" s="709">
        <v>11</v>
      </c>
      <c r="BZ26" s="710" t="s">
        <v>547</v>
      </c>
      <c r="CA26" s="711" t="s">
        <v>548</v>
      </c>
      <c r="CB26" s="709">
        <v>17</v>
      </c>
      <c r="CC26" s="712" t="s">
        <v>549</v>
      </c>
      <c r="CD26" s="709" t="s">
        <v>525</v>
      </c>
      <c r="CE26" s="591" t="str">
        <f t="shared" si="35"/>
        <v>1040.00</v>
      </c>
      <c r="CF26" s="561"/>
      <c r="CG26" s="561"/>
      <c r="CH26" s="561"/>
      <c r="CI26" s="714"/>
      <c r="CK26" s="715">
        <f t="shared" si="36"/>
        <v>16</v>
      </c>
      <c r="CL26" s="591">
        <f t="shared" si="17"/>
        <v>1</v>
      </c>
      <c r="CM26" s="716">
        <f t="shared" si="18"/>
        <v>-25.019999999999982</v>
      </c>
      <c r="CN26" s="716">
        <f t="shared" si="18"/>
        <v>-22</v>
      </c>
      <c r="CO26" s="716">
        <f t="shared" si="18"/>
        <v>-34</v>
      </c>
      <c r="CP26" s="716">
        <f t="shared" si="18"/>
        <v>11</v>
      </c>
      <c r="CQ26" s="716">
        <f t="shared" si="18"/>
        <v>16</v>
      </c>
      <c r="CR26" s="716">
        <f t="shared" si="18"/>
        <v>-6</v>
      </c>
      <c r="CS26" s="716">
        <f t="shared" si="18"/>
        <v>-23</v>
      </c>
      <c r="CT26" s="716">
        <f t="shared" si="18"/>
        <v>-9</v>
      </c>
      <c r="CU26" s="716">
        <f t="shared" si="18"/>
        <v>0</v>
      </c>
      <c r="CV26" s="717" t="str">
        <f t="shared" si="37"/>
        <v>faux</v>
      </c>
      <c r="CW26" s="718">
        <f>IF(E26=0,"",VLOOKUP(B26,[10]liste!AU:BD,10,FALSE))</f>
        <v>2</v>
      </c>
      <c r="CX26" s="719">
        <f t="shared" si="19"/>
        <v>964</v>
      </c>
      <c r="CY26" s="720">
        <f t="shared" si="38"/>
        <v>9</v>
      </c>
      <c r="CZ26" s="721"/>
      <c r="DA26" s="721"/>
      <c r="DB26" s="719"/>
      <c r="DC26" s="722" t="str">
        <f t="shared" ca="1" si="20"/>
        <v/>
      </c>
      <c r="DE26" s="723">
        <f t="shared" si="21"/>
        <v>1056.02</v>
      </c>
      <c r="DF26" s="723">
        <f t="shared" si="22"/>
        <v>964</v>
      </c>
      <c r="DG26" s="697" t="str">
        <f t="shared" si="23"/>
        <v>Baudais Luc</v>
      </c>
      <c r="DH26" s="724">
        <f t="shared" si="24"/>
        <v>-6</v>
      </c>
      <c r="DI26" s="724">
        <f t="shared" si="39"/>
        <v>2</v>
      </c>
      <c r="DJ26" s="719">
        <f t="shared" si="25"/>
        <v>986</v>
      </c>
      <c r="DK26" s="719" t="str">
        <f t="shared" si="26"/>
        <v/>
      </c>
      <c r="DL26" s="719" t="str">
        <f t="shared" si="40"/>
        <v/>
      </c>
      <c r="DM26" s="719"/>
      <c r="DN26" s="719"/>
      <c r="DO26" s="719"/>
      <c r="DP26" s="720">
        <f t="shared" si="41"/>
        <v>9</v>
      </c>
      <c r="DQ26" s="591">
        <f ca="1">VLOOKUP(DG26,[10]résultats!$A$2:$DE$70,109,FALSE)</f>
        <v>20</v>
      </c>
      <c r="DR26" s="591">
        <f ca="1">VLOOKUP(DG26,[10]résultats!$A$2:$DG$70,111,FALSE)</f>
        <v>49</v>
      </c>
      <c r="DT26" s="591">
        <f t="shared" si="42"/>
        <v>15</v>
      </c>
      <c r="DU26" s="591">
        <f t="shared" si="43"/>
        <v>17</v>
      </c>
    </row>
    <row r="27" spans="1:125" s="591" customFormat="1" ht="23.1" customHeight="1">
      <c r="A27" s="308">
        <f t="shared" si="9"/>
        <v>15</v>
      </c>
      <c r="B27" s="297" t="str">
        <f>IF(E27=0,"",VLOOKUP(E27,[10]liste!AM:AN,2,FALSE))</f>
        <v>Colombel Guy</v>
      </c>
      <c r="C27" s="298">
        <f>IF(E27=0,"",VLOOKUP(B27,[10]liste!AN:AP,3,FALSE))</f>
        <v>10</v>
      </c>
      <c r="D27" s="691">
        <f t="shared" si="10"/>
        <v>10</v>
      </c>
      <c r="E27" s="692">
        <f>LARGE([10]liste!AM:AM,12)</f>
        <v>1044.011</v>
      </c>
      <c r="F27" s="693">
        <v>1044</v>
      </c>
      <c r="G27" s="693">
        <v>1040</v>
      </c>
      <c r="H27" s="693">
        <v>1049</v>
      </c>
      <c r="I27" s="692">
        <v>1036</v>
      </c>
      <c r="J27" s="693">
        <v>1039</v>
      </c>
      <c r="K27" s="693">
        <v>1039</v>
      </c>
      <c r="L27" s="693">
        <v>1024</v>
      </c>
      <c r="M27" s="692">
        <v>1011</v>
      </c>
      <c r="N27" s="692">
        <v>1011</v>
      </c>
      <c r="O27" s="694"/>
      <c r="P27" s="695">
        <f t="shared" ca="1" si="11"/>
        <v>0</v>
      </c>
      <c r="Q27" s="170">
        <f t="shared" si="12"/>
        <v>-33.010999999999967</v>
      </c>
      <c r="R27" s="696">
        <f ca="1">IF(U27&lt;MAX(U$16:U$81)/6.2,"NS",IF(B27="",0,VLOOKUP(B27,[10]résultats!AX:DH,63,FALSE)))</f>
        <v>0.51732354562501748</v>
      </c>
      <c r="S27" s="697" t="str">
        <f t="shared" si="13"/>
        <v>Colombel Guy</v>
      </c>
      <c r="T27" s="171">
        <f t="shared" ca="1" si="14"/>
        <v>15</v>
      </c>
      <c r="U27" s="172">
        <f t="shared" ca="1" si="14"/>
        <v>29</v>
      </c>
      <c r="V27" s="292">
        <f ca="1">IF(B27="",0,HLOOKUP(B27&amp;"a",[11]Feuil1!$A$27:$FX$48,20,FALSE)+RAND()*0.0001)</f>
        <v>1.0000843170740485</v>
      </c>
      <c r="W27" s="293">
        <f ca="1">IF(B27="",0,HLOOKUP(B27&amp;"a",[11]Feuil1!$A$27:$FX$48,21,FALSE))+RAND()*0.0001</f>
        <v>3.0000731730181109</v>
      </c>
      <c r="X27" s="725">
        <f t="shared" si="27"/>
        <v>993</v>
      </c>
      <c r="Y27" s="701">
        <f t="shared" si="15"/>
        <v>1049</v>
      </c>
      <c r="Z27" s="1164" t="s">
        <v>550</v>
      </c>
      <c r="AA27" s="1165"/>
      <c r="AB27" s="1165"/>
      <c r="AC27" s="1165"/>
      <c r="AD27" s="1165"/>
      <c r="AE27" s="1165"/>
      <c r="AF27" s="1165"/>
      <c r="AG27" s="1165"/>
      <c r="AH27" s="1165"/>
      <c r="AI27" s="1166"/>
      <c r="AJ27" s="677"/>
      <c r="AK27" s="677">
        <f t="shared" si="28"/>
        <v>30</v>
      </c>
      <c r="AL27" s="705" t="str">
        <f t="shared" si="16"/>
        <v>Colombel Guy</v>
      </c>
      <c r="AM27" s="706">
        <f>IF(OR(HLOOKUP($AL27&amp;"a",[11]Feuil1!$A$27:$EP$48,3,FALSE)=FALSE,HLOOKUP($AL27&amp;"a",[11]Feuil1!$A$27:$EP$48,3,FALSE)=""),0,HLOOKUP($AL27&amp;"a",[11]Feuil1!$A$27:$EP$48,3,FALSE))</f>
        <v>3</v>
      </c>
      <c r="AN27" s="706">
        <f>IF(HLOOKUP($AL27&amp;"aa",[11]Feuil1!$A$27:$EP$48,3,FALSE)=FALSE,0,HLOOKUP($AL27&amp;"aa",[11]Feuil1!$A$27:$EP$48,3,FALSE))</f>
        <v>0</v>
      </c>
      <c r="AO27" s="706">
        <f>IF(OR(HLOOKUP($AL27&amp;"a",[11]Feuil1!$A$27:$EP$48,4,FALSE)=FALSE,HLOOKUP($AL27&amp;"a",[11]Feuil1!$A$27:$EP$48,4,FALSE)=""),0,HLOOKUP($AL27&amp;"a",[11]Feuil1!$A$27:$EP$48,4,FALSE))</f>
        <v>0</v>
      </c>
      <c r="AP27" s="706">
        <f>IF(HLOOKUP($AL27&amp;"aa",[11]Feuil1!$A$27:$EP$48,4,FALSE)=FALSE,0,HLOOKUP($AL27&amp;"aa",[11]Feuil1!$A$27:$EP$48,4,FALSE))</f>
        <v>0</v>
      </c>
      <c r="AQ27" s="706">
        <f>IF(OR(HLOOKUP($AL27&amp;"a",[11]Feuil1!$A$27:$EP$48,5,FALSE)=FALSE,HLOOKUP($AL27&amp;"a",[11]Feuil1!$A$27:$EP$48,5,FALSE)=""),0,HLOOKUP($AL27&amp;"a",[11]Feuil1!$A$27:$EP$48,5,FALSE))</f>
        <v>2</v>
      </c>
      <c r="AR27" s="706">
        <f>IF(HLOOKUP($AL27&amp;"aa",[11]Feuil1!$A$27:$EP$48,5,FALSE)=FALSE,0,HLOOKUP($AL27&amp;"aa",[11]Feuil1!$A$27:$EP$48,5,FALSE))</f>
        <v>0</v>
      </c>
      <c r="AS27" s="706">
        <f>IF(OR(HLOOKUP($AL27&amp;"a",[11]Feuil1!$A$27:$EP$48,6,FALSE)=FALSE,HLOOKUP($AL27&amp;"a",[11]Feuil1!$A$27:$EP$48,6,FALSE)=""),0,HLOOKUP($AL27&amp;"a",[11]Feuil1!$A$27:$EP$48,6,FALSE))</f>
        <v>2</v>
      </c>
      <c r="AT27" s="706">
        <f>IF(HLOOKUP($AL27&amp;"aa",[11]Feuil1!$A$27:$EP$48,6,FALSE)=FALSE,0,HLOOKUP($AL27&amp;"aa",[11]Feuil1!$A$27:$EP$48,6,FALSE))</f>
        <v>1</v>
      </c>
      <c r="AU27" s="706">
        <f>IF(OR(HLOOKUP($AL27&amp;"a",[11]Feuil1!$A$27:$EP$48,7,FALSE)=FALSE,HLOOKUP($AL27&amp;"a",[11]Feuil1!$A$27:$EP$48,7,FALSE)=""),0,HLOOKUP($AL27&amp;"a",[11]Feuil1!$A$27:$EP$48,7,FALSE))</f>
        <v>4</v>
      </c>
      <c r="AV27" s="706">
        <f>IF(HLOOKUP($AL27&amp;"aa",[11]Feuil1!$A$27:$EP$48,7,FALSE)=FALSE,0,HLOOKUP($AL27&amp;"aa",[11]Feuil1!$A$27:$EP$48,7,FALSE))</f>
        <v>2</v>
      </c>
      <c r="AW27" s="706">
        <f>IF(OR(HLOOKUP($AL27&amp;"a",[11]Feuil1!$A$27:$EP$48,8,FALSE)=FALSE,HLOOKUP($AL27&amp;"a",[11]Feuil1!$A$27:$EP$48,8,FALSE)=""),0,HLOOKUP($AL27&amp;"a",[11]Feuil1!$A$27:$EP$48,8,FALSE))</f>
        <v>4</v>
      </c>
      <c r="AX27" s="706">
        <f>IF(HLOOKUP($AL27&amp;"aa",[11]Feuil1!$A$27:$EP$48,8,FALSE)=FALSE,0,HLOOKUP($AL27&amp;"aa",[11]Feuil1!$A$27:$EP$48,8,FALSE))</f>
        <v>5</v>
      </c>
      <c r="AY27" s="706">
        <f>IF(OR(HLOOKUP($AL27&amp;"a",[11]Feuil1!$A$27:$EP$48,9,FALSE)=FALSE,HLOOKUP($AL27&amp;"a",[11]Feuil1!$A$27:$EP$48,9,FALSE)=""),0,HLOOKUP($AL27&amp;"a",[11]Feuil1!$A$27:$EP$48,9,FALSE))</f>
        <v>0</v>
      </c>
      <c r="AZ27" s="706">
        <f>IF(HLOOKUP($AL27&amp;"aa",[11]Feuil1!$A$27:$EP$48,9,FALSE)=FALSE,0,HLOOKUP($AL27&amp;"aa",[11]Feuil1!$A$27:$EP$48,9,FALSE))</f>
        <v>4</v>
      </c>
      <c r="BA27" s="706">
        <f>IF(OR(HLOOKUP($AL27&amp;"a",[11]Feuil1!$A$27:$EP$48,10,FALSE)=FALSE,HLOOKUP($AL27&amp;"a",[11]Feuil1!$A$27:$EP$48,10,FALSE)=""),0,HLOOKUP($AL27&amp;"a",[11]Feuil1!$A$27:$EP$48,10,FALSE))</f>
        <v>0</v>
      </c>
      <c r="BB27" s="706">
        <f>IF(HLOOKUP($AL27&amp;"aa",[11]Feuil1!$A$27:$EP$48,10,FALSE)=FALSE,0,HLOOKUP($AL27&amp;"aa",[11]Feuil1!$A$27:$EP$48,10,FALSE))</f>
        <v>2</v>
      </c>
      <c r="BC27" s="706">
        <f>IF(OR(HLOOKUP($AL27&amp;"a",[11]Feuil1!$A$27:$EP$48,11,FALSE)=FALSE,HLOOKUP($AL27&amp;"a",[11]Feuil1!$A$27:$EP$48,11,FALSE)=""),0,HLOOKUP($AL27&amp;"a",[11]Feuil1!$A$27:$EP$48,11,FALSE))</f>
        <v>0</v>
      </c>
      <c r="BD27" s="706">
        <f>IF(HLOOKUP($AL27&amp;"aa",[11]Feuil1!$A$27:$EP$48,11,FALSE)=FALSE,0,HLOOKUP($AL27&amp;"aa",[11]Feuil1!$A$27:$EP$48,11,FALSE))</f>
        <v>0</v>
      </c>
      <c r="BE27" s="706">
        <f>IF(OR(HLOOKUP($AL27&amp;"a",[11]Feuil1!$A$27:$EP$48,12,FALSE)=FALSE,HLOOKUP($AL27&amp;"a",[11]Feuil1!$A$27:$EP$48,12,FALSE)=""),0,HLOOKUP($AL27&amp;"a",[11]Feuil1!$A$27:$EP$48,12,FALSE))</f>
        <v>0</v>
      </c>
      <c r="BF27" s="706">
        <f>IF(HLOOKUP($AL27&amp;"aa",[11]Feuil1!$A$27:$EP$48,12,FALSE)=FALSE,0,HLOOKUP($AL27&amp;"aa",[11]Feuil1!$A$27:$EP$48,12,FALSE))</f>
        <v>0</v>
      </c>
      <c r="BG27" s="706">
        <f>IF(OR(HLOOKUP($AL27&amp;"a",[11]Feuil1!$A$27:$EP$48,13,FALSE)=FALSE,HLOOKUP($AL27&amp;"a",[11]Feuil1!$A$27:$EP$48,13,FALSE)=""),0,HLOOKUP($AL27&amp;"a",[11]Feuil1!$A$27:$EP$48,13,FALSE))</f>
        <v>0</v>
      </c>
      <c r="BH27" s="706">
        <f>IF(HLOOKUP($AL27&amp;"aa",[11]Feuil1!$A$27:$EP$48,13,FALSE)=FALSE,0,HLOOKUP($AL27&amp;"aa",[11]Feuil1!$A$27:$EP$48,13,FALSE))</f>
        <v>0</v>
      </c>
      <c r="BI27" s="706">
        <f>IF(OR(HLOOKUP($AL27&amp;"a",[11]Feuil1!$A$27:$EP$48,14,FALSE)=FALSE,HLOOKUP($AL27&amp;"a",[11]Feuil1!$A$27:$EP$48,14,FALSE)=""),0,HLOOKUP($AL27&amp;"a",[11]Feuil1!$A$27:$EP$48,14,FALSE))</f>
        <v>0</v>
      </c>
      <c r="BJ27" s="706">
        <f>IF(HLOOKUP($AL27&amp;"aa",[11]Feuil1!$A$27:$EP$48,14,FALSE)=FALSE,0,HLOOKUP($AL27&amp;"aa",[11]Feuil1!$A$27:$EP$48,14,FALSE))</f>
        <v>0</v>
      </c>
      <c r="BK27" s="706">
        <f>IF(OR(HLOOKUP($AL27&amp;"a",[11]Feuil1!$A$27:$EP$48,15,FALSE)=FALSE,HLOOKUP($AL27&amp;"a",[11]Feuil1!$A$27:$EP$48,15,FALSE)=""),0,HLOOKUP($AL27&amp;"a",[11]Feuil1!$A$27:$EP$48,15,FALSE))</f>
        <v>0</v>
      </c>
      <c r="BL27" s="706">
        <f>IF(HLOOKUP($AL27&amp;"aa",[11]Feuil1!$A$27:$EP$48,15,FALSE)=FALSE,0,HLOOKUP($AL27&amp;"aa",[11]Feuil1!$A$27:$EP$48,15,FALSE))</f>
        <v>0</v>
      </c>
      <c r="BM27" s="706">
        <f>IF(OR(HLOOKUP($AL27&amp;"a",[11]Feuil1!$A$27:$EP$48,16,FALSE)=FALSE,HLOOKUP($AL27&amp;"a",[11]Feuil1!$A$27:$EP$48,16,FALSE)=""),0,HLOOKUP($AL27&amp;"a",[11]Feuil1!$A$27:$EP$48,16,FALSE))</f>
        <v>0</v>
      </c>
      <c r="BN27" s="706">
        <f>IF(HLOOKUP($AL27&amp;"aa",[11]Feuil1!$A$27:$EP$48,16,FALSE)=FALSE,0,HLOOKUP($AL27&amp;"aa",[11]Feuil1!$A$27:$EP$48,16,FALSE))</f>
        <v>1</v>
      </c>
      <c r="BO27" s="706">
        <f>IF(OR(HLOOKUP($AL27&amp;"a",[11]Feuil1!$A$27:$EP$48,17,FALSE)=FALSE,HLOOKUP($AL27&amp;"a",[11]Feuil1!$A$27:$EP$48,17,FALSE)=""),0,HLOOKUP($AL27&amp;"a",[11]Feuil1!$A$27:$EP$48,17,FALSE))</f>
        <v>0</v>
      </c>
      <c r="BP27" s="706">
        <f>IF(HLOOKUP($AL27&amp;"aa",[11]Feuil1!$A$27:$EP$48,17,FALSE)=FALSE,0,HLOOKUP($AL27&amp;"aa",[11]Feuil1!$A$27:$EP$48,17,FALSE))</f>
        <v>0</v>
      </c>
      <c r="BQ27" s="706">
        <f>IF(OR(HLOOKUP($AL27&amp;"a",[11]Feuil1!$A$27:$EP$48,18,FALSE)=FALSE,HLOOKUP($AL27&amp;"a",[11]Feuil1!$A$27:$EP$48,18,FALSE)=""),0,HLOOKUP($AL27&amp;"a",[11]Feuil1!$A$27:$EP$48,18,FALSE))</f>
        <v>0</v>
      </c>
      <c r="BR27" s="706">
        <f>IF(HLOOKUP($AL27&amp;"aa",[11]Feuil1!$A$27:$EP$48,18,FALSE)=FALSE,0,HLOOKUP($AL27&amp;"aa",[11]Feuil1!$A$27:$EP$48,18,FALSE))</f>
        <v>0</v>
      </c>
      <c r="BS27" s="707">
        <f t="shared" si="29"/>
        <v>8.0666666666666664</v>
      </c>
      <c r="BT27" s="707">
        <f t="shared" si="30"/>
        <v>10.8</v>
      </c>
      <c r="BU27" s="707">
        <f t="shared" si="31"/>
        <v>9.4333333333333336</v>
      </c>
      <c r="BV27" s="708">
        <f t="shared" ca="1" si="32"/>
        <v>15</v>
      </c>
      <c r="BW27" s="708">
        <f t="shared" ca="1" si="33"/>
        <v>14</v>
      </c>
      <c r="BX27" t="str">
        <f t="shared" si="34"/>
        <v>HUBERT Bruno</v>
      </c>
      <c r="BY27" s="726">
        <v>12</v>
      </c>
      <c r="BZ27" s="727" t="s">
        <v>551</v>
      </c>
      <c r="CA27" s="728" t="s">
        <v>552</v>
      </c>
      <c r="CB27" s="726">
        <v>9</v>
      </c>
      <c r="CC27" s="729" t="s">
        <v>553</v>
      </c>
      <c r="CD27" s="726" t="s">
        <v>546</v>
      </c>
      <c r="CE27" s="591" t="str">
        <f t="shared" si="35"/>
        <v>1060.00</v>
      </c>
      <c r="CF27" s="561"/>
      <c r="CG27" s="561"/>
      <c r="CH27" s="561"/>
      <c r="CI27" s="714"/>
      <c r="CK27" s="715">
        <f t="shared" si="36"/>
        <v>9</v>
      </c>
      <c r="CL27" s="591">
        <f t="shared" si="17"/>
        <v>0</v>
      </c>
      <c r="CM27" s="716">
        <f t="shared" si="18"/>
        <v>-1.0999999999967258E-2</v>
      </c>
      <c r="CN27" s="716">
        <f t="shared" si="18"/>
        <v>-4</v>
      </c>
      <c r="CO27" s="716">
        <f t="shared" si="18"/>
        <v>9</v>
      </c>
      <c r="CP27" s="716">
        <f t="shared" si="18"/>
        <v>-13</v>
      </c>
      <c r="CQ27" s="716">
        <f t="shared" si="18"/>
        <v>3</v>
      </c>
      <c r="CR27" s="716">
        <f t="shared" si="18"/>
        <v>0</v>
      </c>
      <c r="CS27" s="716">
        <f t="shared" si="18"/>
        <v>-15</v>
      </c>
      <c r="CT27" s="716">
        <f t="shared" si="18"/>
        <v>-13</v>
      </c>
      <c r="CU27" s="716">
        <f t="shared" si="18"/>
        <v>0</v>
      </c>
      <c r="CV27" s="717" t="str">
        <f t="shared" si="37"/>
        <v>faux</v>
      </c>
      <c r="CW27" s="718">
        <f>IF(E27=0,"",VLOOKUP(B27,[10]liste!AU:BD,10,FALSE))</f>
        <v>2</v>
      </c>
      <c r="CX27" s="719">
        <f t="shared" si="19"/>
        <v>1011</v>
      </c>
      <c r="CY27" s="720">
        <f t="shared" si="38"/>
        <v>10</v>
      </c>
      <c r="CZ27" s="721"/>
      <c r="DA27" s="721"/>
      <c r="DB27" s="719"/>
      <c r="DC27" s="722" t="str">
        <f t="shared" ca="1" si="20"/>
        <v/>
      </c>
      <c r="DE27" s="723">
        <f t="shared" si="21"/>
        <v>1044.011</v>
      </c>
      <c r="DF27" s="723">
        <f t="shared" si="22"/>
        <v>1011</v>
      </c>
      <c r="DG27" s="697" t="str">
        <f t="shared" si="23"/>
        <v>Colombel Guy</v>
      </c>
      <c r="DH27" s="724">
        <f t="shared" si="24"/>
        <v>-3</v>
      </c>
      <c r="DI27" s="724">
        <f t="shared" si="39"/>
        <v>2</v>
      </c>
      <c r="DJ27" s="719">
        <f t="shared" si="25"/>
        <v>1036</v>
      </c>
      <c r="DK27" s="719" t="str">
        <f t="shared" si="26"/>
        <v/>
      </c>
      <c r="DL27" s="719" t="str">
        <f t="shared" si="40"/>
        <v/>
      </c>
      <c r="DM27" s="719"/>
      <c r="DN27" s="719"/>
      <c r="DO27" s="719"/>
      <c r="DP27" s="720">
        <f t="shared" si="41"/>
        <v>10</v>
      </c>
      <c r="DQ27" s="591">
        <f ca="1">VLOOKUP(DG27,[10]résultats!$A$2:$DE$70,109,FALSE)</f>
        <v>15</v>
      </c>
      <c r="DR27" s="591">
        <f ca="1">VLOOKUP(DG27,[10]résultats!$A$2:$DG$70,111,FALSE)</f>
        <v>29</v>
      </c>
      <c r="DT27" s="591">
        <f t="shared" si="42"/>
        <v>13</v>
      </c>
      <c r="DU27" s="591">
        <f t="shared" si="43"/>
        <v>14</v>
      </c>
    </row>
    <row r="28" spans="1:125" s="591" customFormat="1" ht="23.1" customHeight="1">
      <c r="A28" s="308">
        <f t="shared" si="9"/>
        <v>11</v>
      </c>
      <c r="B28" s="297" t="str">
        <f>IF(E28=0,"",VLOOKUP(E28,[10]liste!AM:AN,2,FALSE))</f>
        <v>Roszak Martin</v>
      </c>
      <c r="C28" s="298">
        <f>IF(E28=0,"",VLOOKUP(B28,[10]liste!AN:AP,3,FALSE))</f>
        <v>10</v>
      </c>
      <c r="D28" s="691">
        <f t="shared" si="10"/>
        <v>10</v>
      </c>
      <c r="E28" s="692">
        <f>LARGE([10]liste!AM:AM,13)</f>
        <v>1031.086</v>
      </c>
      <c r="F28" s="693">
        <v>1039</v>
      </c>
      <c r="G28" s="693">
        <v>1041</v>
      </c>
      <c r="H28" s="693">
        <v>1043</v>
      </c>
      <c r="I28" s="692">
        <v>1064.9000000000001</v>
      </c>
      <c r="J28" s="693">
        <v>1078.0999999999999</v>
      </c>
      <c r="K28" s="693">
        <v>1086</v>
      </c>
      <c r="L28" s="693">
        <v>1060</v>
      </c>
      <c r="M28" s="692">
        <v>1049</v>
      </c>
      <c r="N28" s="692">
        <v>1054</v>
      </c>
      <c r="O28" s="694"/>
      <c r="P28" s="695">
        <f t="shared" ca="1" si="11"/>
        <v>5</v>
      </c>
      <c r="Q28" s="170">
        <f t="shared" si="12"/>
        <v>22.913999999999987</v>
      </c>
      <c r="R28" s="696">
        <f ca="1">IF(U28&lt;MAX(U$16:U$81)/6.2,"NS",IF(B28="",0,VLOOKUP(B28,[10]résultats!AX:DH,63,FALSE)))</f>
        <v>0.56528666619658685</v>
      </c>
      <c r="S28" s="697" t="str">
        <f t="shared" si="13"/>
        <v>Roszak Martin</v>
      </c>
      <c r="T28" s="171">
        <f t="shared" ca="1" si="14"/>
        <v>26</v>
      </c>
      <c r="U28" s="172">
        <f t="shared" ca="1" si="14"/>
        <v>46</v>
      </c>
      <c r="V28" s="292">
        <f ca="1">IF(B28="",0,HLOOKUP(B28&amp;"a",[11]Feuil1!$A$27:$FX$48,20,FALSE)+RAND()*0.0001)</f>
        <v>6.0000383798549182</v>
      </c>
      <c r="W28" s="293">
        <f ca="1">IF(B28="",0,HLOOKUP(B28&amp;"a",[11]Feuil1!$A$27:$FX$48,21,FALSE))+RAND()*0.0001</f>
        <v>4.0000262910158941</v>
      </c>
      <c r="X28" s="725">
        <f t="shared" si="27"/>
        <v>995</v>
      </c>
      <c r="Y28" s="701">
        <f t="shared" si="15"/>
        <v>1086</v>
      </c>
      <c r="Z28" s="1167"/>
      <c r="AA28" s="1168"/>
      <c r="AB28" s="1168"/>
      <c r="AC28" s="1168"/>
      <c r="AD28" s="1168"/>
      <c r="AE28" s="1168"/>
      <c r="AF28" s="1168"/>
      <c r="AG28" s="1168"/>
      <c r="AH28" s="1168"/>
      <c r="AI28" s="1169"/>
      <c r="AJ28" s="677"/>
      <c r="AK28" s="677">
        <f t="shared" si="28"/>
        <v>44</v>
      </c>
      <c r="AL28" s="705" t="str">
        <f t="shared" si="16"/>
        <v>Roszak Martin</v>
      </c>
      <c r="AM28" s="706">
        <f>IF(OR(HLOOKUP($AL28&amp;"a",[11]Feuil1!$A$27:$EP$48,3,FALSE)=FALSE,HLOOKUP($AL28&amp;"a",[11]Feuil1!$A$27:$EP$48,3,FALSE)=""),0,HLOOKUP($AL28&amp;"a",[11]Feuil1!$A$27:$EP$48,3,FALSE))</f>
        <v>2</v>
      </c>
      <c r="AN28" s="706">
        <f>IF(HLOOKUP($AL28&amp;"aa",[11]Feuil1!$A$27:$EP$48,3,FALSE)=FALSE,0,HLOOKUP($AL28&amp;"aa",[11]Feuil1!$A$27:$EP$48,3,FALSE))</f>
        <v>0</v>
      </c>
      <c r="AO28" s="706">
        <f>IF(OR(HLOOKUP($AL28&amp;"a",[11]Feuil1!$A$27:$EP$48,4,FALSE)=FALSE,HLOOKUP($AL28&amp;"a",[11]Feuil1!$A$27:$EP$48,4,FALSE)=""),0,HLOOKUP($AL28&amp;"a",[11]Feuil1!$A$27:$EP$48,4,FALSE))</f>
        <v>4</v>
      </c>
      <c r="AP28" s="706">
        <f>IF(HLOOKUP($AL28&amp;"aa",[11]Feuil1!$A$27:$EP$48,4,FALSE)=FALSE,0,HLOOKUP($AL28&amp;"aa",[11]Feuil1!$A$27:$EP$48,4,FALSE))</f>
        <v>0</v>
      </c>
      <c r="AQ28" s="706">
        <f>IF(OR(HLOOKUP($AL28&amp;"a",[11]Feuil1!$A$27:$EP$48,5,FALSE)=FALSE,HLOOKUP($AL28&amp;"a",[11]Feuil1!$A$27:$EP$48,5,FALSE)=""),0,HLOOKUP($AL28&amp;"a",[11]Feuil1!$A$27:$EP$48,5,FALSE))</f>
        <v>2</v>
      </c>
      <c r="AR28" s="706">
        <f>IF(HLOOKUP($AL28&amp;"aa",[11]Feuil1!$A$27:$EP$48,5,FALSE)=FALSE,0,HLOOKUP($AL28&amp;"aa",[11]Feuil1!$A$27:$EP$48,5,FALSE))</f>
        <v>1</v>
      </c>
      <c r="AS28" s="706">
        <f>IF(OR(HLOOKUP($AL28&amp;"a",[11]Feuil1!$A$27:$EP$48,6,FALSE)=FALSE,HLOOKUP($AL28&amp;"a",[11]Feuil1!$A$27:$EP$48,6,FALSE)=""),0,HLOOKUP($AL28&amp;"a",[11]Feuil1!$A$27:$EP$48,6,FALSE))</f>
        <v>5</v>
      </c>
      <c r="AT28" s="706">
        <f>IF(HLOOKUP($AL28&amp;"aa",[11]Feuil1!$A$27:$EP$48,6,FALSE)=FALSE,0,HLOOKUP($AL28&amp;"aa",[11]Feuil1!$A$27:$EP$48,6,FALSE))</f>
        <v>2</v>
      </c>
      <c r="AU28" s="706">
        <f>IF(OR(HLOOKUP($AL28&amp;"a",[11]Feuil1!$A$27:$EP$48,7,FALSE)=FALSE,HLOOKUP($AL28&amp;"a",[11]Feuil1!$A$27:$EP$48,7,FALSE)=""),0,HLOOKUP($AL28&amp;"a",[11]Feuil1!$A$27:$EP$48,7,FALSE))</f>
        <v>4</v>
      </c>
      <c r="AV28" s="706">
        <f>IF(HLOOKUP($AL28&amp;"aa",[11]Feuil1!$A$27:$EP$48,7,FALSE)=FALSE,0,HLOOKUP($AL28&amp;"aa",[11]Feuil1!$A$27:$EP$48,7,FALSE))</f>
        <v>0</v>
      </c>
      <c r="AW28" s="706">
        <f>IF(OR(HLOOKUP($AL28&amp;"a",[11]Feuil1!$A$27:$EP$48,8,FALSE)=FALSE,HLOOKUP($AL28&amp;"a",[11]Feuil1!$A$27:$EP$48,8,FALSE)=""),0,HLOOKUP($AL28&amp;"a",[11]Feuil1!$A$27:$EP$48,8,FALSE))</f>
        <v>5</v>
      </c>
      <c r="AX28" s="706">
        <f>IF(HLOOKUP($AL28&amp;"aa",[11]Feuil1!$A$27:$EP$48,8,FALSE)=FALSE,0,HLOOKUP($AL28&amp;"aa",[11]Feuil1!$A$27:$EP$48,8,FALSE))</f>
        <v>2</v>
      </c>
      <c r="AY28" s="706">
        <f>IF(OR(HLOOKUP($AL28&amp;"a",[11]Feuil1!$A$27:$EP$48,9,FALSE)=FALSE,HLOOKUP($AL28&amp;"a",[11]Feuil1!$A$27:$EP$48,9,FALSE)=""),0,HLOOKUP($AL28&amp;"a",[11]Feuil1!$A$27:$EP$48,9,FALSE))</f>
        <v>3</v>
      </c>
      <c r="AZ28" s="706">
        <f>IF(HLOOKUP($AL28&amp;"aa",[11]Feuil1!$A$27:$EP$48,9,FALSE)=FALSE,0,HLOOKUP($AL28&amp;"aa",[11]Feuil1!$A$27:$EP$48,9,FALSE))</f>
        <v>5</v>
      </c>
      <c r="BA28" s="706">
        <f>IF(OR(HLOOKUP($AL28&amp;"a",[11]Feuil1!$A$27:$EP$48,10,FALSE)=FALSE,HLOOKUP($AL28&amp;"a",[11]Feuil1!$A$27:$EP$48,10,FALSE)=""),0,HLOOKUP($AL28&amp;"a",[11]Feuil1!$A$27:$EP$48,10,FALSE))</f>
        <v>1</v>
      </c>
      <c r="BB28" s="706">
        <f>IF(HLOOKUP($AL28&amp;"aa",[11]Feuil1!$A$27:$EP$48,10,FALSE)=FALSE,0,HLOOKUP($AL28&amp;"aa",[11]Feuil1!$A$27:$EP$48,10,FALSE))</f>
        <v>5</v>
      </c>
      <c r="BC28" s="706">
        <f>IF(OR(HLOOKUP($AL28&amp;"a",[11]Feuil1!$A$27:$EP$48,11,FALSE)=FALSE,HLOOKUP($AL28&amp;"a",[11]Feuil1!$A$27:$EP$48,11,FALSE)=""),0,HLOOKUP($AL28&amp;"a",[11]Feuil1!$A$27:$EP$48,11,FALSE))</f>
        <v>0</v>
      </c>
      <c r="BD28" s="706">
        <f>IF(HLOOKUP($AL28&amp;"aa",[11]Feuil1!$A$27:$EP$48,11,FALSE)=FALSE,0,HLOOKUP($AL28&amp;"aa",[11]Feuil1!$A$27:$EP$48,11,FALSE))</f>
        <v>3</v>
      </c>
      <c r="BE28" s="706">
        <f>IF(OR(HLOOKUP($AL28&amp;"a",[11]Feuil1!$A$27:$EP$48,12,FALSE)=FALSE,HLOOKUP($AL28&amp;"a",[11]Feuil1!$A$27:$EP$48,12,FALSE)=""),0,HLOOKUP($AL28&amp;"a",[11]Feuil1!$A$27:$EP$48,12,FALSE))</f>
        <v>0</v>
      </c>
      <c r="BF28" s="706">
        <f>IF(HLOOKUP($AL28&amp;"aa",[11]Feuil1!$A$27:$EP$48,12,FALSE)=FALSE,0,HLOOKUP($AL28&amp;"aa",[11]Feuil1!$A$27:$EP$48,12,FALSE))</f>
        <v>0</v>
      </c>
      <c r="BG28" s="706">
        <f>IF(OR(HLOOKUP($AL28&amp;"a",[11]Feuil1!$A$27:$EP$48,13,FALSE)=FALSE,HLOOKUP($AL28&amp;"a",[11]Feuil1!$A$27:$EP$48,13,FALSE)=""),0,HLOOKUP($AL28&amp;"a",[11]Feuil1!$A$27:$EP$48,13,FALSE))</f>
        <v>0</v>
      </c>
      <c r="BH28" s="706">
        <f>IF(HLOOKUP($AL28&amp;"aa",[11]Feuil1!$A$27:$EP$48,13,FALSE)=FALSE,0,HLOOKUP($AL28&amp;"aa",[11]Feuil1!$A$27:$EP$48,13,FALSE))</f>
        <v>0</v>
      </c>
      <c r="BI28" s="706">
        <f>IF(OR(HLOOKUP($AL28&amp;"a",[11]Feuil1!$A$27:$EP$48,14,FALSE)=FALSE,HLOOKUP($AL28&amp;"a",[11]Feuil1!$A$27:$EP$48,14,FALSE)=""),0,HLOOKUP($AL28&amp;"a",[11]Feuil1!$A$27:$EP$48,14,FALSE))</f>
        <v>0</v>
      </c>
      <c r="BJ28" s="706">
        <f>IF(HLOOKUP($AL28&amp;"aa",[11]Feuil1!$A$27:$EP$48,14,FALSE)=FALSE,0,HLOOKUP($AL28&amp;"aa",[11]Feuil1!$A$27:$EP$48,14,FALSE))</f>
        <v>0</v>
      </c>
      <c r="BK28" s="706">
        <f>IF(OR(HLOOKUP($AL28&amp;"a",[11]Feuil1!$A$27:$EP$48,15,FALSE)=FALSE,HLOOKUP($AL28&amp;"a",[11]Feuil1!$A$27:$EP$48,15,FALSE)=""),0,HLOOKUP($AL28&amp;"a",[11]Feuil1!$A$27:$EP$48,15,FALSE))</f>
        <v>0</v>
      </c>
      <c r="BL28" s="706">
        <f>IF(HLOOKUP($AL28&amp;"aa",[11]Feuil1!$A$27:$EP$48,15,FALSE)=FALSE,0,HLOOKUP($AL28&amp;"aa",[11]Feuil1!$A$27:$EP$48,15,FALSE))</f>
        <v>0</v>
      </c>
      <c r="BM28" s="706">
        <f>IF(OR(HLOOKUP($AL28&amp;"a",[11]Feuil1!$A$27:$EP$48,16,FALSE)=FALSE,HLOOKUP($AL28&amp;"a",[11]Feuil1!$A$27:$EP$48,16,FALSE)=""),0,HLOOKUP($AL28&amp;"a",[11]Feuil1!$A$27:$EP$48,16,FALSE))</f>
        <v>0</v>
      </c>
      <c r="BN28" s="706">
        <f>IF(HLOOKUP($AL28&amp;"aa",[11]Feuil1!$A$27:$EP$48,16,FALSE)=FALSE,0,HLOOKUP($AL28&amp;"aa",[11]Feuil1!$A$27:$EP$48,16,FALSE))</f>
        <v>0</v>
      </c>
      <c r="BO28" s="706">
        <f>IF(OR(HLOOKUP($AL28&amp;"a",[11]Feuil1!$A$27:$EP$48,17,FALSE)=FALSE,HLOOKUP($AL28&amp;"a",[11]Feuil1!$A$27:$EP$48,17,FALSE)=""),0,HLOOKUP($AL28&amp;"a",[11]Feuil1!$A$27:$EP$48,17,FALSE))</f>
        <v>0</v>
      </c>
      <c r="BP28" s="706">
        <f>IF(HLOOKUP($AL28&amp;"aa",[11]Feuil1!$A$27:$EP$48,17,FALSE)=FALSE,0,HLOOKUP($AL28&amp;"aa",[11]Feuil1!$A$27:$EP$48,17,FALSE))</f>
        <v>0</v>
      </c>
      <c r="BQ28" s="706">
        <f>IF(OR(HLOOKUP($AL28&amp;"a",[11]Feuil1!$A$27:$EP$48,18,FALSE)=FALSE,HLOOKUP($AL28&amp;"a",[11]Feuil1!$A$27:$EP$48,18,FALSE)=""),0,HLOOKUP($AL28&amp;"a",[11]Feuil1!$A$27:$EP$48,18,FALSE))</f>
        <v>0</v>
      </c>
      <c r="BR28" s="706">
        <f>IF(HLOOKUP($AL28&amp;"aa",[11]Feuil1!$A$27:$EP$48,18,FALSE)=FALSE,0,HLOOKUP($AL28&amp;"aa",[11]Feuil1!$A$27:$EP$48,18,FALSE))</f>
        <v>0</v>
      </c>
      <c r="BS28" s="707">
        <f t="shared" si="29"/>
        <v>8.4230769230769234</v>
      </c>
      <c r="BT28" s="707">
        <f t="shared" si="30"/>
        <v>10.944444444444445</v>
      </c>
      <c r="BU28" s="707">
        <f t="shared" si="31"/>
        <v>9.454545454545455</v>
      </c>
      <c r="BV28" s="708">
        <f t="shared" ca="1" si="32"/>
        <v>26</v>
      </c>
      <c r="BW28" s="708">
        <f t="shared" ca="1" si="33"/>
        <v>20</v>
      </c>
      <c r="BX28" t="str">
        <f t="shared" si="34"/>
        <v>LE CAM Corentin</v>
      </c>
      <c r="BY28" s="709">
        <v>13</v>
      </c>
      <c r="BZ28" s="710" t="s">
        <v>554</v>
      </c>
      <c r="CA28" s="711" t="s">
        <v>555</v>
      </c>
      <c r="CB28" s="709">
        <v>5</v>
      </c>
      <c r="CC28" s="712" t="s">
        <v>556</v>
      </c>
      <c r="CD28" s="709" t="s">
        <v>536</v>
      </c>
      <c r="CE28" s="591" t="str">
        <f t="shared" si="35"/>
        <v>803.00</v>
      </c>
      <c r="CF28" s="561"/>
      <c r="CG28" s="561"/>
      <c r="CH28" s="561"/>
      <c r="CI28" s="714"/>
      <c r="CK28" s="715">
        <f t="shared" si="36"/>
        <v>21.900000000000091</v>
      </c>
      <c r="CL28" s="591">
        <f t="shared" si="17"/>
        <v>0</v>
      </c>
      <c r="CM28" s="716">
        <f t="shared" si="18"/>
        <v>7.9139999999999873</v>
      </c>
      <c r="CN28" s="716">
        <f t="shared" si="18"/>
        <v>2</v>
      </c>
      <c r="CO28" s="716">
        <f t="shared" si="18"/>
        <v>2</v>
      </c>
      <c r="CP28" s="716">
        <f t="shared" si="18"/>
        <v>21.900000000000091</v>
      </c>
      <c r="CQ28" s="716">
        <f t="shared" si="18"/>
        <v>13.199999999999818</v>
      </c>
      <c r="CR28" s="716">
        <f t="shared" si="18"/>
        <v>7.9000000000000909</v>
      </c>
      <c r="CS28" s="716">
        <f t="shared" si="18"/>
        <v>-26</v>
      </c>
      <c r="CT28" s="716">
        <f t="shared" si="18"/>
        <v>-11</v>
      </c>
      <c r="CU28" s="716">
        <f t="shared" si="18"/>
        <v>5</v>
      </c>
      <c r="CV28" s="717" t="str">
        <f t="shared" si="37"/>
        <v>faux</v>
      </c>
      <c r="CW28" s="718">
        <f>IF(E28=0,"",VLOOKUP(B28,[10]liste!AU:BD,10,FALSE))</f>
        <v>2</v>
      </c>
      <c r="CX28" s="719">
        <f t="shared" si="19"/>
        <v>1054</v>
      </c>
      <c r="CY28" s="720">
        <f t="shared" si="38"/>
        <v>10</v>
      </c>
      <c r="CZ28" s="719"/>
      <c r="DA28" s="719"/>
      <c r="DB28" s="719"/>
      <c r="DC28" s="722" t="str">
        <f t="shared" ca="1" si="20"/>
        <v/>
      </c>
      <c r="DE28" s="723">
        <f t="shared" si="21"/>
        <v>1031.086</v>
      </c>
      <c r="DF28" s="723">
        <f t="shared" si="22"/>
        <v>1054</v>
      </c>
      <c r="DG28" s="697" t="str">
        <f t="shared" si="23"/>
        <v>Roszak Martin</v>
      </c>
      <c r="DH28" s="724">
        <f t="shared" si="24"/>
        <v>2</v>
      </c>
      <c r="DI28" s="724">
        <f t="shared" si="39"/>
        <v>2</v>
      </c>
      <c r="DJ28" s="719">
        <f t="shared" si="25"/>
        <v>1064.9000000000001</v>
      </c>
      <c r="DK28" s="719" t="str">
        <f t="shared" si="26"/>
        <v/>
      </c>
      <c r="DL28" s="719" t="str">
        <f t="shared" si="40"/>
        <v/>
      </c>
      <c r="DM28" s="719"/>
      <c r="DN28" s="719"/>
      <c r="DO28" s="719"/>
      <c r="DP28" s="720">
        <f t="shared" si="41"/>
        <v>10</v>
      </c>
      <c r="DQ28" s="591">
        <f ca="1">VLOOKUP(DG28,[10]résultats!$A$2:$DE$70,109,FALSE)</f>
        <v>26</v>
      </c>
      <c r="DR28" s="591">
        <f ca="1">VLOOKUP(DG28,[10]résultats!$A$2:$DG$70,111,FALSE)</f>
        <v>46</v>
      </c>
      <c r="DT28" s="591">
        <f t="shared" si="42"/>
        <v>12</v>
      </c>
      <c r="DU28" s="591">
        <f t="shared" si="43"/>
        <v>11</v>
      </c>
    </row>
    <row r="29" spans="1:125" s="591" customFormat="1" ht="23.1" customHeight="1">
      <c r="A29" s="308">
        <f t="shared" si="9"/>
        <v>13</v>
      </c>
      <c r="B29" s="297" t="str">
        <f>IF(E29=0,"",VLOOKUP(E29,[10]liste!AM:AN,2,FALSE))</f>
        <v>Dayot Franck</v>
      </c>
      <c r="C29" s="298">
        <f>IF(E29=0,"",VLOOKUP(B29,[10]liste!AN:AP,3,FALSE))</f>
        <v>10</v>
      </c>
      <c r="D29" s="691">
        <f t="shared" si="10"/>
        <v>10</v>
      </c>
      <c r="E29" s="692">
        <f>LARGE([10]liste!AM:AM,14)</f>
        <v>1018.09</v>
      </c>
      <c r="F29" s="693">
        <v>1006</v>
      </c>
      <c r="G29" s="693">
        <v>1003</v>
      </c>
      <c r="H29" s="693">
        <v>1013</v>
      </c>
      <c r="I29" s="693">
        <v>1014</v>
      </c>
      <c r="J29" s="693">
        <v>1020</v>
      </c>
      <c r="K29" s="693">
        <v>1033</v>
      </c>
      <c r="L29" s="693">
        <v>1017</v>
      </c>
      <c r="M29" s="692">
        <v>1016</v>
      </c>
      <c r="N29" s="692">
        <v>1016</v>
      </c>
      <c r="O29" s="694"/>
      <c r="P29" s="695">
        <f t="shared" ca="1" si="11"/>
        <v>0</v>
      </c>
      <c r="Q29" s="170">
        <f t="shared" si="12"/>
        <v>-2.0900000000000318</v>
      </c>
      <c r="R29" s="696">
        <f ca="1">IF(U29&lt;MAX(U$16:U$81)/6.2,"NS",IF(B29="",0,VLOOKUP(B29,[10]résultats!AX:DH,63,FALSE)))</f>
        <v>0.76931543771973787</v>
      </c>
      <c r="S29" s="697" t="str">
        <f t="shared" si="13"/>
        <v>Dayot Franck</v>
      </c>
      <c r="T29" s="171">
        <f t="shared" ca="1" si="14"/>
        <v>30</v>
      </c>
      <c r="U29" s="172">
        <f t="shared" ca="1" si="14"/>
        <v>39</v>
      </c>
      <c r="V29" s="292">
        <f ca="1">IF(B29="",0,HLOOKUP(B29&amp;"a",[11]Feuil1!$A$27:$FX$48,20,FALSE)+RAND()*0.0001)</f>
        <v>4.2439174812083759E-5</v>
      </c>
      <c r="W29" s="293">
        <f ca="1">IF(B29="",0,HLOOKUP(B29&amp;"a",[11]Feuil1!$A$27:$FX$48,21,FALSE))+RAND()*0.0001</f>
        <v>6.0000746300536338</v>
      </c>
      <c r="X29" s="725">
        <f t="shared" si="27"/>
        <v>797</v>
      </c>
      <c r="Y29" s="701">
        <f t="shared" si="15"/>
        <v>1033</v>
      </c>
      <c r="Z29" s="732"/>
      <c r="AA29" s="733"/>
      <c r="AB29" s="300"/>
      <c r="AC29" s="734"/>
      <c r="AD29" s="735" t="str">
        <f>IF(AD30="","","Meilleures progressions mensuelles")</f>
        <v>Meilleures progressions mensuelles</v>
      </c>
      <c r="AE29" s="581"/>
      <c r="AF29" s="581"/>
      <c r="AG29" s="730"/>
      <c r="AH29" s="304" t="s">
        <v>557</v>
      </c>
      <c r="AI29" s="305"/>
      <c r="AJ29" s="677"/>
      <c r="AK29" s="677">
        <f t="shared" si="28"/>
        <v>36</v>
      </c>
      <c r="AL29" s="705" t="str">
        <f t="shared" si="16"/>
        <v>Dayot Franck</v>
      </c>
      <c r="AM29" s="706">
        <f>IF(OR(HLOOKUP($AL29&amp;"a",[11]Feuil1!$A$27:$EP$48,3,FALSE)=FALSE,HLOOKUP($AL29&amp;"a",[11]Feuil1!$A$27:$EP$48,3,FALSE)=""),0,HLOOKUP($AL29&amp;"a",[11]Feuil1!$A$27:$EP$48,3,FALSE))</f>
        <v>6</v>
      </c>
      <c r="AN29" s="706">
        <f>IF(HLOOKUP($AL29&amp;"aa",[11]Feuil1!$A$27:$EP$48,3,FALSE)=FALSE,0,HLOOKUP($AL29&amp;"aa",[11]Feuil1!$A$27:$EP$48,3,FALSE))</f>
        <v>0</v>
      </c>
      <c r="AO29" s="706">
        <f>IF(OR(HLOOKUP($AL29&amp;"a",[11]Feuil1!$A$27:$EP$48,4,FALSE)=FALSE,HLOOKUP($AL29&amp;"a",[11]Feuil1!$A$27:$EP$48,4,FALSE)=""),0,HLOOKUP($AL29&amp;"a",[11]Feuil1!$A$27:$EP$48,4,FALSE))</f>
        <v>5</v>
      </c>
      <c r="AP29" s="706">
        <f>IF(HLOOKUP($AL29&amp;"aa",[11]Feuil1!$A$27:$EP$48,4,FALSE)=FALSE,0,HLOOKUP($AL29&amp;"aa",[11]Feuil1!$A$27:$EP$48,4,FALSE))</f>
        <v>1</v>
      </c>
      <c r="AQ29" s="706">
        <f>IF(OR(HLOOKUP($AL29&amp;"a",[11]Feuil1!$A$27:$EP$48,5,FALSE)=FALSE,HLOOKUP($AL29&amp;"a",[11]Feuil1!$A$27:$EP$48,5,FALSE)=""),0,HLOOKUP($AL29&amp;"a",[11]Feuil1!$A$27:$EP$48,5,FALSE))</f>
        <v>7</v>
      </c>
      <c r="AR29" s="706">
        <f>IF(HLOOKUP($AL29&amp;"aa",[11]Feuil1!$A$27:$EP$48,5,FALSE)=FALSE,0,HLOOKUP($AL29&amp;"aa",[11]Feuil1!$A$27:$EP$48,5,FALSE))</f>
        <v>0</v>
      </c>
      <c r="AS29" s="706">
        <f>IF(OR(HLOOKUP($AL29&amp;"a",[11]Feuil1!$A$27:$EP$48,6,FALSE)=FALSE,HLOOKUP($AL29&amp;"a",[11]Feuil1!$A$27:$EP$48,6,FALSE)=""),0,HLOOKUP($AL29&amp;"a",[11]Feuil1!$A$27:$EP$48,6,FALSE))</f>
        <v>2</v>
      </c>
      <c r="AT29" s="706">
        <f>IF(HLOOKUP($AL29&amp;"aa",[11]Feuil1!$A$27:$EP$48,6,FALSE)=FALSE,0,HLOOKUP($AL29&amp;"aa",[11]Feuil1!$A$27:$EP$48,6,FALSE))</f>
        <v>2</v>
      </c>
      <c r="AU29" s="706">
        <f>IF(OR(HLOOKUP($AL29&amp;"a",[11]Feuil1!$A$27:$EP$48,7,FALSE)=FALSE,HLOOKUP($AL29&amp;"a",[11]Feuil1!$A$27:$EP$48,7,FALSE)=""),0,HLOOKUP($AL29&amp;"a",[11]Feuil1!$A$27:$EP$48,7,FALSE))</f>
        <v>6</v>
      </c>
      <c r="AV29" s="706">
        <f>IF(HLOOKUP($AL29&amp;"aa",[11]Feuil1!$A$27:$EP$48,7,FALSE)=FALSE,0,HLOOKUP($AL29&amp;"aa",[11]Feuil1!$A$27:$EP$48,7,FALSE))</f>
        <v>3</v>
      </c>
      <c r="AW29" s="706">
        <f>IF(OR(HLOOKUP($AL29&amp;"a",[11]Feuil1!$A$27:$EP$48,8,FALSE)=FALSE,HLOOKUP($AL29&amp;"a",[11]Feuil1!$A$27:$EP$48,8,FALSE)=""),0,HLOOKUP($AL29&amp;"a",[11]Feuil1!$A$27:$EP$48,8,FALSE))</f>
        <v>2</v>
      </c>
      <c r="AX29" s="706">
        <f>IF(HLOOKUP($AL29&amp;"aa",[11]Feuil1!$A$27:$EP$48,8,FALSE)=FALSE,0,HLOOKUP($AL29&amp;"aa",[11]Feuil1!$A$27:$EP$48,8,FALSE))</f>
        <v>1</v>
      </c>
      <c r="AY29" s="706">
        <f>IF(OR(HLOOKUP($AL29&amp;"a",[11]Feuil1!$A$27:$EP$48,9,FALSE)=FALSE,HLOOKUP($AL29&amp;"a",[11]Feuil1!$A$27:$EP$48,9,FALSE)=""),0,HLOOKUP($AL29&amp;"a",[11]Feuil1!$A$27:$EP$48,9,FALSE))</f>
        <v>0</v>
      </c>
      <c r="AZ29" s="706">
        <f>IF(HLOOKUP($AL29&amp;"aa",[11]Feuil1!$A$27:$EP$48,9,FALSE)=FALSE,0,HLOOKUP($AL29&amp;"aa",[11]Feuil1!$A$27:$EP$48,9,FALSE))</f>
        <v>1</v>
      </c>
      <c r="BA29" s="706">
        <f>IF(OR(HLOOKUP($AL29&amp;"a",[11]Feuil1!$A$27:$EP$48,10,FALSE)=FALSE,HLOOKUP($AL29&amp;"a",[11]Feuil1!$A$27:$EP$48,10,FALSE)=""),0,HLOOKUP($AL29&amp;"a",[11]Feuil1!$A$27:$EP$48,10,FALSE))</f>
        <v>0</v>
      </c>
      <c r="BB29" s="706">
        <f>IF(HLOOKUP($AL29&amp;"aa",[11]Feuil1!$A$27:$EP$48,10,FALSE)=FALSE,0,HLOOKUP($AL29&amp;"aa",[11]Feuil1!$A$27:$EP$48,10,FALSE))</f>
        <v>0</v>
      </c>
      <c r="BC29" s="706">
        <f>IF(OR(HLOOKUP($AL29&amp;"a",[11]Feuil1!$A$27:$EP$48,11,FALSE)=FALSE,HLOOKUP($AL29&amp;"a",[11]Feuil1!$A$27:$EP$48,11,FALSE)=""),0,HLOOKUP($AL29&amp;"a",[11]Feuil1!$A$27:$EP$48,11,FALSE))</f>
        <v>0</v>
      </c>
      <c r="BD29" s="706">
        <f>IF(HLOOKUP($AL29&amp;"aa",[11]Feuil1!$A$27:$EP$48,11,FALSE)=FALSE,0,HLOOKUP($AL29&amp;"aa",[11]Feuil1!$A$27:$EP$48,11,FALSE))</f>
        <v>0</v>
      </c>
      <c r="BE29" s="706">
        <f>IF(OR(HLOOKUP($AL29&amp;"a",[11]Feuil1!$A$27:$EP$48,12,FALSE)=FALSE,HLOOKUP($AL29&amp;"a",[11]Feuil1!$A$27:$EP$48,12,FALSE)=""),0,HLOOKUP($AL29&amp;"a",[11]Feuil1!$A$27:$EP$48,12,FALSE))</f>
        <v>0</v>
      </c>
      <c r="BF29" s="706">
        <f>IF(HLOOKUP($AL29&amp;"aa",[11]Feuil1!$A$27:$EP$48,12,FALSE)=FALSE,0,HLOOKUP($AL29&amp;"aa",[11]Feuil1!$A$27:$EP$48,12,FALSE))</f>
        <v>0</v>
      </c>
      <c r="BG29" s="706">
        <f>IF(OR(HLOOKUP($AL29&amp;"a",[11]Feuil1!$A$27:$EP$48,13,FALSE)=FALSE,HLOOKUP($AL29&amp;"a",[11]Feuil1!$A$27:$EP$48,13,FALSE)=""),0,HLOOKUP($AL29&amp;"a",[11]Feuil1!$A$27:$EP$48,13,FALSE))</f>
        <v>0</v>
      </c>
      <c r="BH29" s="706">
        <f>IF(HLOOKUP($AL29&amp;"aa",[11]Feuil1!$A$27:$EP$48,13,FALSE)=FALSE,0,HLOOKUP($AL29&amp;"aa",[11]Feuil1!$A$27:$EP$48,13,FALSE))</f>
        <v>0</v>
      </c>
      <c r="BI29" s="706">
        <f>IF(OR(HLOOKUP($AL29&amp;"a",[11]Feuil1!$A$27:$EP$48,14,FALSE)=FALSE,HLOOKUP($AL29&amp;"a",[11]Feuil1!$A$27:$EP$48,14,FALSE)=""),0,HLOOKUP($AL29&amp;"a",[11]Feuil1!$A$27:$EP$48,14,FALSE))</f>
        <v>0</v>
      </c>
      <c r="BJ29" s="706">
        <f>IF(HLOOKUP($AL29&amp;"aa",[11]Feuil1!$A$27:$EP$48,14,FALSE)=FALSE,0,HLOOKUP($AL29&amp;"aa",[11]Feuil1!$A$27:$EP$48,14,FALSE))</f>
        <v>0</v>
      </c>
      <c r="BK29" s="706">
        <f>IF(OR(HLOOKUP($AL29&amp;"a",[11]Feuil1!$A$27:$EP$48,15,FALSE)=FALSE,HLOOKUP($AL29&amp;"a",[11]Feuil1!$A$27:$EP$48,15,FALSE)=""),0,HLOOKUP($AL29&amp;"a",[11]Feuil1!$A$27:$EP$48,15,FALSE))</f>
        <v>0</v>
      </c>
      <c r="BL29" s="706">
        <f>IF(HLOOKUP($AL29&amp;"aa",[11]Feuil1!$A$27:$EP$48,15,FALSE)=FALSE,0,HLOOKUP($AL29&amp;"aa",[11]Feuil1!$A$27:$EP$48,15,FALSE))</f>
        <v>0</v>
      </c>
      <c r="BM29" s="706">
        <f>IF(OR(HLOOKUP($AL29&amp;"a",[11]Feuil1!$A$27:$EP$48,16,FALSE)=FALSE,HLOOKUP($AL29&amp;"a",[11]Feuil1!$A$27:$EP$48,16,FALSE)=""),0,HLOOKUP($AL29&amp;"a",[11]Feuil1!$A$27:$EP$48,16,FALSE))</f>
        <v>0</v>
      </c>
      <c r="BN29" s="706">
        <f>IF(HLOOKUP($AL29&amp;"aa",[11]Feuil1!$A$27:$EP$48,16,FALSE)=FALSE,0,HLOOKUP($AL29&amp;"aa",[11]Feuil1!$A$27:$EP$48,16,FALSE))</f>
        <v>0</v>
      </c>
      <c r="BO29" s="706">
        <f>IF(OR(HLOOKUP($AL29&amp;"a",[11]Feuil1!$A$27:$EP$48,17,FALSE)=FALSE,HLOOKUP($AL29&amp;"a",[11]Feuil1!$A$27:$EP$48,17,FALSE)=""),0,HLOOKUP($AL29&amp;"a",[11]Feuil1!$A$27:$EP$48,17,FALSE))</f>
        <v>0</v>
      </c>
      <c r="BP29" s="706">
        <f>IF(HLOOKUP($AL29&amp;"aa",[11]Feuil1!$A$27:$EP$48,17,FALSE)=FALSE,0,HLOOKUP($AL29&amp;"aa",[11]Feuil1!$A$27:$EP$48,17,FALSE))</f>
        <v>0</v>
      </c>
      <c r="BQ29" s="706">
        <f>IF(OR(HLOOKUP($AL29&amp;"a",[11]Feuil1!$A$27:$EP$48,18,FALSE)=FALSE,HLOOKUP($AL29&amp;"a",[11]Feuil1!$A$27:$EP$48,18,FALSE)=""),0,HLOOKUP($AL29&amp;"a",[11]Feuil1!$A$27:$EP$48,18,FALSE))</f>
        <v>0</v>
      </c>
      <c r="BR29" s="706">
        <f>IF(HLOOKUP($AL29&amp;"aa",[11]Feuil1!$A$27:$EP$48,18,FALSE)=FALSE,0,HLOOKUP($AL29&amp;"aa",[11]Feuil1!$A$27:$EP$48,18,FALSE))</f>
        <v>0</v>
      </c>
      <c r="BS29" s="707">
        <f t="shared" si="29"/>
        <v>7.1071428571428568</v>
      </c>
      <c r="BT29" s="707">
        <f t="shared" si="30"/>
        <v>8.75</v>
      </c>
      <c r="BU29" s="707">
        <f t="shared" si="31"/>
        <v>7.4722222222222223</v>
      </c>
      <c r="BV29" s="708">
        <f t="shared" ca="1" si="32"/>
        <v>30</v>
      </c>
      <c r="BW29" s="708">
        <f t="shared" ca="1" si="33"/>
        <v>9</v>
      </c>
      <c r="BX29" t="str">
        <f t="shared" si="34"/>
        <v>LE GARNEC Sacha</v>
      </c>
      <c r="BY29" s="726">
        <v>14</v>
      </c>
      <c r="BZ29" s="727" t="s">
        <v>558</v>
      </c>
      <c r="CA29" s="728" t="s">
        <v>559</v>
      </c>
      <c r="CB29" s="726">
        <v>7</v>
      </c>
      <c r="CC29" s="729" t="s">
        <v>560</v>
      </c>
      <c r="CD29" s="726" t="s">
        <v>532</v>
      </c>
      <c r="CE29" s="591" t="e">
        <f t="shared" si="35"/>
        <v>#N/A</v>
      </c>
      <c r="CF29" s="561"/>
      <c r="CG29" s="561"/>
      <c r="CH29" s="561"/>
      <c r="CI29" s="714"/>
      <c r="CK29" s="715">
        <f t="shared" si="36"/>
        <v>13</v>
      </c>
      <c r="CL29" s="591">
        <f t="shared" si="17"/>
        <v>0</v>
      </c>
      <c r="CM29" s="716">
        <f t="shared" si="18"/>
        <v>-12.090000000000032</v>
      </c>
      <c r="CN29" s="716">
        <f t="shared" si="18"/>
        <v>-3</v>
      </c>
      <c r="CO29" s="716">
        <f t="shared" si="18"/>
        <v>10</v>
      </c>
      <c r="CP29" s="716">
        <f t="shared" si="18"/>
        <v>1</v>
      </c>
      <c r="CQ29" s="716">
        <f t="shared" si="18"/>
        <v>6</v>
      </c>
      <c r="CR29" s="716">
        <f t="shared" si="18"/>
        <v>13</v>
      </c>
      <c r="CS29" s="716">
        <f t="shared" si="18"/>
        <v>-16</v>
      </c>
      <c r="CT29" s="716">
        <f t="shared" si="18"/>
        <v>-1</v>
      </c>
      <c r="CU29" s="716">
        <f t="shared" si="18"/>
        <v>0</v>
      </c>
      <c r="CV29" s="717" t="str">
        <f t="shared" si="37"/>
        <v>faux</v>
      </c>
      <c r="CW29" s="718">
        <f>IF(E29=0,"",VLOOKUP(B29,[10]liste!AU:BD,10,FALSE))</f>
        <v>2</v>
      </c>
      <c r="CX29" s="719">
        <f t="shared" si="19"/>
        <v>1016</v>
      </c>
      <c r="CY29" s="720">
        <f t="shared" si="38"/>
        <v>10</v>
      </c>
      <c r="CZ29" s="736"/>
      <c r="DA29" s="737" t="e">
        <f>#REF!</f>
        <v>#REF!</v>
      </c>
      <c r="DB29" s="738" t="e">
        <f t="shared" ref="DB29:DB34" si="44">IF(DA29&lt;500,"NC",ROUNDDOWN(DA29/100,0))</f>
        <v>#REF!</v>
      </c>
      <c r="DC29" s="722" t="str">
        <f t="shared" ca="1" si="20"/>
        <v/>
      </c>
      <c r="DE29" s="723">
        <f t="shared" si="21"/>
        <v>1018.09</v>
      </c>
      <c r="DF29" s="723">
        <f t="shared" si="22"/>
        <v>1016</v>
      </c>
      <c r="DG29" s="697" t="str">
        <f t="shared" si="23"/>
        <v>Dayot Franck</v>
      </c>
      <c r="DH29" s="724">
        <f t="shared" si="24"/>
        <v>1</v>
      </c>
      <c r="DI29" s="724">
        <f t="shared" si="39"/>
        <v>2</v>
      </c>
      <c r="DJ29" s="719">
        <f t="shared" si="25"/>
        <v>1014</v>
      </c>
      <c r="DK29" s="719" t="str">
        <f t="shared" si="26"/>
        <v/>
      </c>
      <c r="DL29" s="719" t="str">
        <f t="shared" si="40"/>
        <v/>
      </c>
      <c r="DM29" s="719"/>
      <c r="DN29" s="719"/>
      <c r="DO29" s="719"/>
      <c r="DP29" s="720">
        <f t="shared" si="41"/>
        <v>10</v>
      </c>
      <c r="DQ29" s="591">
        <f ca="1">VLOOKUP(DG29,[10]résultats!$A$2:$DE$70,109,FALSE)</f>
        <v>30</v>
      </c>
      <c r="DR29" s="591">
        <f ca="1">VLOOKUP(DG29,[10]résultats!$A$2:$DG$70,111,FALSE)</f>
        <v>39</v>
      </c>
      <c r="DT29" s="591">
        <f t="shared" si="42"/>
        <v>14</v>
      </c>
      <c r="DU29" s="591">
        <f t="shared" si="43"/>
        <v>13</v>
      </c>
    </row>
    <row r="30" spans="1:125" s="591" customFormat="1" ht="23.1" customHeight="1">
      <c r="A30" s="308">
        <f t="shared" si="9"/>
        <v>16</v>
      </c>
      <c r="B30" s="297" t="str">
        <f>IF(E30=0,"",VLOOKUP(E30,[10]liste!AM:AN,2,FALSE))</f>
        <v>Morin Emmanuel</v>
      </c>
      <c r="C30" s="298">
        <f>IF(E30=0,"",VLOOKUP(B30,[10]liste!AN:AP,3,FALSE))</f>
        <v>9</v>
      </c>
      <c r="D30" s="691">
        <f t="shared" si="10"/>
        <v>9</v>
      </c>
      <c r="E30" s="692">
        <f>LARGE([10]liste!AM:AM,15)</f>
        <v>985.01599999999996</v>
      </c>
      <c r="F30" s="693">
        <v>986</v>
      </c>
      <c r="G30" s="693">
        <v>986.1</v>
      </c>
      <c r="H30" s="693">
        <v>984</v>
      </c>
      <c r="I30" s="692">
        <v>985</v>
      </c>
      <c r="J30" s="693">
        <v>973</v>
      </c>
      <c r="K30" s="693">
        <v>966</v>
      </c>
      <c r="L30" s="693">
        <v>959</v>
      </c>
      <c r="M30" s="692">
        <v>980</v>
      </c>
      <c r="N30" s="692">
        <v>979</v>
      </c>
      <c r="O30" s="694"/>
      <c r="P30" s="695">
        <f t="shared" ca="1" si="11"/>
        <v>-1</v>
      </c>
      <c r="Q30" s="170">
        <f t="shared" si="12"/>
        <v>-6.0159999999999627</v>
      </c>
      <c r="R30" s="696">
        <f ca="1">IF(U30&lt;MAX(U$16:U$81)/6.2,"NS",IF(B30="",0,VLOOKUP(B30,[10]résultats!AX:DH,63,FALSE)))</f>
        <v>0.53705643234216605</v>
      </c>
      <c r="S30" s="697" t="str">
        <f t="shared" si="13"/>
        <v>Morin Emmanuel</v>
      </c>
      <c r="T30" s="171">
        <f t="shared" ca="1" si="14"/>
        <v>29</v>
      </c>
      <c r="U30" s="172">
        <f t="shared" ca="1" si="14"/>
        <v>54</v>
      </c>
      <c r="V30" s="292">
        <f ca="1">IF(B30="",0,HLOOKUP(B30&amp;"a",[11]Feuil1!$A$27:$FX$48,20,FALSE)+RAND()*0.0001)</f>
        <v>6.0000597384963701</v>
      </c>
      <c r="W30" s="293">
        <f ca="1">IF(B30="",0,HLOOKUP(B30&amp;"a",[11]Feuil1!$A$27:$FX$48,21,FALSE))+RAND()*0.0001</f>
        <v>14.000044850336652</v>
      </c>
      <c r="X30" s="725">
        <f t="shared" si="27"/>
        <v>918</v>
      </c>
      <c r="Y30" s="701">
        <f t="shared" si="15"/>
        <v>986.1</v>
      </c>
      <c r="Z30" s="1160" t="s">
        <v>642</v>
      </c>
      <c r="AA30" s="1161"/>
      <c r="AB30" s="1161"/>
      <c r="AC30" s="734"/>
      <c r="AD30" s="739" t="str">
        <f>IF(CM9="","",CM9&amp;"  "&amp;CM10&amp;" pts en Septembre")</f>
        <v>Quentin M.  21 pts en Septembre</v>
      </c>
      <c r="AE30" s="581"/>
      <c r="AF30" s="581"/>
      <c r="AG30" s="730"/>
      <c r="AH30" s="306" t="str">
        <f ca="1">IF(AJ30&lt;=2,"",VLOOKUP(AJ30,[10]résultats!DJ:DK,2,FALSE))</f>
        <v>Morin Léa</v>
      </c>
      <c r="AI30" s="305" t="str">
        <f ca="1">LARGE([10]résultats!DG:DG,1)&amp;" matchs"</f>
        <v>100 matchs</v>
      </c>
      <c r="AJ30" s="740">
        <f ca="1">LARGE([10]résultats!DJ:DJ,1)</f>
        <v>100.65851505379456</v>
      </c>
      <c r="AK30" s="677">
        <f t="shared" si="28"/>
        <v>56</v>
      </c>
      <c r="AL30" s="705" t="str">
        <f t="shared" si="16"/>
        <v>Morin Emmanuel</v>
      </c>
      <c r="AM30" s="706">
        <f>IF(OR(HLOOKUP($AL30&amp;"a",[11]Feuil1!$A$27:$EP$48,3,FALSE)=FALSE,HLOOKUP($AL30&amp;"a",[11]Feuil1!$A$27:$EP$48,3,FALSE)=""),0,HLOOKUP($AL30&amp;"a",[11]Feuil1!$A$27:$EP$48,3,FALSE))</f>
        <v>5</v>
      </c>
      <c r="AN30" s="706">
        <f>IF(HLOOKUP($AL30&amp;"aa",[11]Feuil1!$A$27:$EP$48,3,FALSE)=FALSE,0,HLOOKUP($AL30&amp;"aa",[11]Feuil1!$A$27:$EP$48,3,FALSE))</f>
        <v>1</v>
      </c>
      <c r="AO30" s="706">
        <f>IF(OR(HLOOKUP($AL30&amp;"a",[11]Feuil1!$A$27:$EP$48,4,FALSE)=FALSE,HLOOKUP($AL30&amp;"a",[11]Feuil1!$A$27:$EP$48,4,FALSE)=""),0,HLOOKUP($AL30&amp;"a",[11]Feuil1!$A$27:$EP$48,4,FALSE))</f>
        <v>2</v>
      </c>
      <c r="AP30" s="706">
        <f>IF(HLOOKUP($AL30&amp;"aa",[11]Feuil1!$A$27:$EP$48,4,FALSE)=FALSE,0,HLOOKUP($AL30&amp;"aa",[11]Feuil1!$A$27:$EP$48,4,FALSE))</f>
        <v>0</v>
      </c>
      <c r="AQ30" s="706">
        <f>IF(OR(HLOOKUP($AL30&amp;"a",[11]Feuil1!$A$27:$EP$48,5,FALSE)=FALSE,HLOOKUP($AL30&amp;"a",[11]Feuil1!$A$27:$EP$48,5,FALSE)=""),0,HLOOKUP($AL30&amp;"a",[11]Feuil1!$A$27:$EP$48,5,FALSE))</f>
        <v>3</v>
      </c>
      <c r="AR30" s="706">
        <f>IF(HLOOKUP($AL30&amp;"aa",[11]Feuil1!$A$27:$EP$48,5,FALSE)=FALSE,0,HLOOKUP($AL30&amp;"aa",[11]Feuil1!$A$27:$EP$48,5,FALSE))</f>
        <v>1</v>
      </c>
      <c r="AS30" s="706">
        <f>IF(OR(HLOOKUP($AL30&amp;"a",[11]Feuil1!$A$27:$EP$48,6,FALSE)=FALSE,HLOOKUP($AL30&amp;"a",[11]Feuil1!$A$27:$EP$48,6,FALSE)=""),0,HLOOKUP($AL30&amp;"a",[11]Feuil1!$A$27:$EP$48,6,FALSE))</f>
        <v>6</v>
      </c>
      <c r="AT30" s="706">
        <f>IF(HLOOKUP($AL30&amp;"aa",[11]Feuil1!$A$27:$EP$48,6,FALSE)=FALSE,0,HLOOKUP($AL30&amp;"aa",[11]Feuil1!$A$27:$EP$48,6,FALSE))</f>
        <v>2</v>
      </c>
      <c r="AU30" s="706">
        <f>IF(OR(HLOOKUP($AL30&amp;"a",[11]Feuil1!$A$27:$EP$48,7,FALSE)=FALSE,HLOOKUP($AL30&amp;"a",[11]Feuil1!$A$27:$EP$48,7,FALSE)=""),0,HLOOKUP($AL30&amp;"a",[11]Feuil1!$A$27:$EP$48,7,FALSE))</f>
        <v>9</v>
      </c>
      <c r="AV30" s="706">
        <f>IF(HLOOKUP($AL30&amp;"aa",[11]Feuil1!$A$27:$EP$48,7,FALSE)=FALSE,0,HLOOKUP($AL30&amp;"aa",[11]Feuil1!$A$27:$EP$48,7,FALSE))</f>
        <v>10</v>
      </c>
      <c r="AW30" s="706">
        <f>IF(OR(HLOOKUP($AL30&amp;"a",[11]Feuil1!$A$27:$EP$48,8,FALSE)=FALSE,HLOOKUP($AL30&amp;"a",[11]Feuil1!$A$27:$EP$48,8,FALSE)=""),0,HLOOKUP($AL30&amp;"a",[11]Feuil1!$A$27:$EP$48,8,FALSE))</f>
        <v>3</v>
      </c>
      <c r="AX30" s="706">
        <f>IF(HLOOKUP($AL30&amp;"aa",[11]Feuil1!$A$27:$EP$48,8,FALSE)=FALSE,0,HLOOKUP($AL30&amp;"aa",[11]Feuil1!$A$27:$EP$48,8,FALSE))</f>
        <v>7</v>
      </c>
      <c r="AY30" s="706">
        <f>IF(OR(HLOOKUP($AL30&amp;"a",[11]Feuil1!$A$27:$EP$48,9,FALSE)=FALSE,HLOOKUP($AL30&amp;"a",[11]Feuil1!$A$27:$EP$48,9,FALSE)=""),0,HLOOKUP($AL30&amp;"a",[11]Feuil1!$A$27:$EP$48,9,FALSE))</f>
        <v>1</v>
      </c>
      <c r="AZ30" s="706">
        <f>IF(HLOOKUP($AL30&amp;"aa",[11]Feuil1!$A$27:$EP$48,9,FALSE)=FALSE,0,HLOOKUP($AL30&amp;"aa",[11]Feuil1!$A$27:$EP$48,9,FALSE))</f>
        <v>3</v>
      </c>
      <c r="BA30" s="706">
        <f>IF(OR(HLOOKUP($AL30&amp;"a",[11]Feuil1!$A$27:$EP$48,10,FALSE)=FALSE,HLOOKUP($AL30&amp;"a",[11]Feuil1!$A$27:$EP$48,10,FALSE)=""),0,HLOOKUP($AL30&amp;"a",[11]Feuil1!$A$27:$EP$48,10,FALSE))</f>
        <v>0</v>
      </c>
      <c r="BB30" s="706">
        <f>IF(HLOOKUP($AL30&amp;"aa",[11]Feuil1!$A$27:$EP$48,10,FALSE)=FALSE,0,HLOOKUP($AL30&amp;"aa",[11]Feuil1!$A$27:$EP$48,10,FALSE))</f>
        <v>2</v>
      </c>
      <c r="BC30" s="706">
        <f>IF(OR(HLOOKUP($AL30&amp;"a",[11]Feuil1!$A$27:$EP$48,11,FALSE)=FALSE,HLOOKUP($AL30&amp;"a",[11]Feuil1!$A$27:$EP$48,11,FALSE)=""),0,HLOOKUP($AL30&amp;"a",[11]Feuil1!$A$27:$EP$48,11,FALSE))</f>
        <v>0</v>
      </c>
      <c r="BD30" s="706">
        <f>IF(HLOOKUP($AL30&amp;"aa",[11]Feuil1!$A$27:$EP$48,11,FALSE)=FALSE,0,HLOOKUP($AL30&amp;"aa",[11]Feuil1!$A$27:$EP$48,11,FALSE))</f>
        <v>1</v>
      </c>
      <c r="BE30" s="706">
        <f>IF(OR(HLOOKUP($AL30&amp;"a",[11]Feuil1!$A$27:$EP$48,12,FALSE)=FALSE,HLOOKUP($AL30&amp;"a",[11]Feuil1!$A$27:$EP$48,12,FALSE)=""),0,HLOOKUP($AL30&amp;"a",[11]Feuil1!$A$27:$EP$48,12,FALSE))</f>
        <v>0</v>
      </c>
      <c r="BF30" s="706">
        <f>IF(HLOOKUP($AL30&amp;"aa",[11]Feuil1!$A$27:$EP$48,12,FALSE)=FALSE,0,HLOOKUP($AL30&amp;"aa",[11]Feuil1!$A$27:$EP$48,12,FALSE))</f>
        <v>0</v>
      </c>
      <c r="BG30" s="706">
        <f>IF(OR(HLOOKUP($AL30&amp;"a",[11]Feuil1!$A$27:$EP$48,13,FALSE)=FALSE,HLOOKUP($AL30&amp;"a",[11]Feuil1!$A$27:$EP$48,13,FALSE)=""),0,HLOOKUP($AL30&amp;"a",[11]Feuil1!$A$27:$EP$48,13,FALSE))</f>
        <v>0</v>
      </c>
      <c r="BH30" s="706">
        <f>IF(HLOOKUP($AL30&amp;"aa",[11]Feuil1!$A$27:$EP$48,13,FALSE)=FALSE,0,HLOOKUP($AL30&amp;"aa",[11]Feuil1!$A$27:$EP$48,13,FALSE))</f>
        <v>0</v>
      </c>
      <c r="BI30" s="706">
        <f>IF(OR(HLOOKUP($AL30&amp;"a",[11]Feuil1!$A$27:$EP$48,14,FALSE)=FALSE,HLOOKUP($AL30&amp;"a",[11]Feuil1!$A$27:$EP$48,14,FALSE)=""),0,HLOOKUP($AL30&amp;"a",[11]Feuil1!$A$27:$EP$48,14,FALSE))</f>
        <v>0</v>
      </c>
      <c r="BJ30" s="706">
        <f>IF(HLOOKUP($AL30&amp;"aa",[11]Feuil1!$A$27:$EP$48,14,FALSE)=FALSE,0,HLOOKUP($AL30&amp;"aa",[11]Feuil1!$A$27:$EP$48,14,FALSE))</f>
        <v>0</v>
      </c>
      <c r="BK30" s="706">
        <f>IF(OR(HLOOKUP($AL30&amp;"a",[11]Feuil1!$A$27:$EP$48,15,FALSE)=FALSE,HLOOKUP($AL30&amp;"a",[11]Feuil1!$A$27:$EP$48,15,FALSE)=""),0,HLOOKUP($AL30&amp;"a",[11]Feuil1!$A$27:$EP$48,15,FALSE))</f>
        <v>0</v>
      </c>
      <c r="BL30" s="706">
        <f>IF(HLOOKUP($AL30&amp;"aa",[11]Feuil1!$A$27:$EP$48,15,FALSE)=FALSE,0,HLOOKUP($AL30&amp;"aa",[11]Feuil1!$A$27:$EP$48,15,FALSE))</f>
        <v>0</v>
      </c>
      <c r="BM30" s="706">
        <f>IF(OR(HLOOKUP($AL30&amp;"a",[11]Feuil1!$A$27:$EP$48,16,FALSE)=FALSE,HLOOKUP($AL30&amp;"a",[11]Feuil1!$A$27:$EP$48,16,FALSE)=""),0,HLOOKUP($AL30&amp;"a",[11]Feuil1!$A$27:$EP$48,16,FALSE))</f>
        <v>0</v>
      </c>
      <c r="BN30" s="706">
        <f>IF(HLOOKUP($AL30&amp;"aa",[11]Feuil1!$A$27:$EP$48,16,FALSE)=FALSE,0,HLOOKUP($AL30&amp;"aa",[11]Feuil1!$A$27:$EP$48,16,FALSE))</f>
        <v>0</v>
      </c>
      <c r="BO30" s="706">
        <f>IF(OR(HLOOKUP($AL30&amp;"a",[11]Feuil1!$A$27:$EP$48,17,FALSE)=FALSE,HLOOKUP($AL30&amp;"a",[11]Feuil1!$A$27:$EP$48,17,FALSE)=""),0,HLOOKUP($AL30&amp;"a",[11]Feuil1!$A$27:$EP$48,17,FALSE))</f>
        <v>0</v>
      </c>
      <c r="BP30" s="706">
        <f>IF(HLOOKUP($AL30&amp;"aa",[11]Feuil1!$A$27:$EP$48,17,FALSE)=FALSE,0,HLOOKUP($AL30&amp;"aa",[11]Feuil1!$A$27:$EP$48,17,FALSE))</f>
        <v>0</v>
      </c>
      <c r="BQ30" s="706">
        <f>IF(OR(HLOOKUP($AL30&amp;"a",[11]Feuil1!$A$27:$EP$48,18,FALSE)=FALSE,HLOOKUP($AL30&amp;"a",[11]Feuil1!$A$27:$EP$48,18,FALSE)=""),0,HLOOKUP($AL30&amp;"a",[11]Feuil1!$A$27:$EP$48,18,FALSE))</f>
        <v>0</v>
      </c>
      <c r="BR30" s="706">
        <f>IF(HLOOKUP($AL30&amp;"aa",[11]Feuil1!$A$27:$EP$48,18,FALSE)=FALSE,0,HLOOKUP($AL30&amp;"aa",[11]Feuil1!$A$27:$EP$48,18,FALSE))</f>
        <v>0</v>
      </c>
      <c r="BS30" s="707">
        <f t="shared" si="29"/>
        <v>7.8620689655172411</v>
      </c>
      <c r="BT30" s="707">
        <f t="shared" si="30"/>
        <v>9.5555555555555554</v>
      </c>
      <c r="BU30" s="707">
        <f t="shared" si="31"/>
        <v>8.6785714285714288</v>
      </c>
      <c r="BV30" s="708">
        <f t="shared" ca="1" si="32"/>
        <v>29</v>
      </c>
      <c r="BW30" s="708">
        <f t="shared" ca="1" si="33"/>
        <v>25</v>
      </c>
      <c r="BX30" t="str">
        <f t="shared" si="34"/>
        <v>LE MAILLOUX Tom</v>
      </c>
      <c r="BY30" s="709">
        <v>15</v>
      </c>
      <c r="BZ30" s="710" t="s">
        <v>561</v>
      </c>
      <c r="CA30" s="711" t="s">
        <v>562</v>
      </c>
      <c r="CB30" s="709">
        <v>5</v>
      </c>
      <c r="CC30" s="712" t="s">
        <v>563</v>
      </c>
      <c r="CD30" s="709" t="s">
        <v>536</v>
      </c>
      <c r="CE30" s="591" t="str">
        <f t="shared" si="35"/>
        <v>764.00</v>
      </c>
      <c r="CF30" s="561"/>
      <c r="CG30" s="561"/>
      <c r="CH30" s="561"/>
      <c r="CI30" s="714"/>
      <c r="CK30" s="715">
        <f t="shared" si="36"/>
        <v>21</v>
      </c>
      <c r="CL30" s="591">
        <f t="shared" si="17"/>
        <v>0</v>
      </c>
      <c r="CM30" s="716">
        <f t="shared" si="18"/>
        <v>0.98400000000003729</v>
      </c>
      <c r="CN30" s="716">
        <f t="shared" si="18"/>
        <v>0.10000000000002274</v>
      </c>
      <c r="CO30" s="716">
        <f t="shared" si="18"/>
        <v>-2.1000000000000227</v>
      </c>
      <c r="CP30" s="716">
        <f t="shared" si="18"/>
        <v>1</v>
      </c>
      <c r="CQ30" s="716">
        <f t="shared" si="18"/>
        <v>-12</v>
      </c>
      <c r="CR30" s="716">
        <f t="shared" si="18"/>
        <v>-7</v>
      </c>
      <c r="CS30" s="716">
        <f t="shared" si="18"/>
        <v>-7</v>
      </c>
      <c r="CT30" s="716">
        <f t="shared" si="18"/>
        <v>21</v>
      </c>
      <c r="CU30" s="716">
        <f t="shared" si="18"/>
        <v>-1</v>
      </c>
      <c r="CV30" s="717" t="str">
        <f t="shared" si="37"/>
        <v>faux</v>
      </c>
      <c r="CW30" s="718">
        <f>IF(E30=0,"",VLOOKUP(B30,[10]liste!AU:BD,10,FALSE))</f>
        <v>2</v>
      </c>
      <c r="CX30" s="719">
        <f t="shared" si="19"/>
        <v>979</v>
      </c>
      <c r="CY30" s="720">
        <f t="shared" si="38"/>
        <v>9</v>
      </c>
      <c r="CZ30" s="736"/>
      <c r="DA30" s="741" t="e">
        <f>#REF!</f>
        <v>#REF!</v>
      </c>
      <c r="DB30" s="738" t="e">
        <f t="shared" si="44"/>
        <v>#REF!</v>
      </c>
      <c r="DC30" s="722" t="str">
        <f t="shared" ca="1" si="20"/>
        <v/>
      </c>
      <c r="DE30" s="723">
        <f t="shared" si="21"/>
        <v>985.01599999999996</v>
      </c>
      <c r="DF30" s="723">
        <f t="shared" si="22"/>
        <v>979</v>
      </c>
      <c r="DG30" s="697" t="str">
        <f t="shared" si="23"/>
        <v>Morin Emmanuel</v>
      </c>
      <c r="DH30" s="724">
        <f t="shared" si="24"/>
        <v>-1</v>
      </c>
      <c r="DI30" s="724">
        <f t="shared" si="39"/>
        <v>2</v>
      </c>
      <c r="DJ30" s="719">
        <f t="shared" si="25"/>
        <v>985</v>
      </c>
      <c r="DK30" s="719" t="str">
        <f t="shared" si="26"/>
        <v/>
      </c>
      <c r="DL30" s="719" t="str">
        <f t="shared" si="40"/>
        <v/>
      </c>
      <c r="DM30" s="719"/>
      <c r="DN30" s="719"/>
      <c r="DO30" s="719"/>
      <c r="DP30" s="720">
        <f t="shared" si="41"/>
        <v>9</v>
      </c>
      <c r="DQ30" s="591">
        <f ca="1">VLOOKUP(DG30,[10]résultats!$A$2:$DE$70,109,FALSE)</f>
        <v>29</v>
      </c>
      <c r="DR30" s="591">
        <f ca="1">VLOOKUP(DG30,[10]résultats!$A$2:$DG$70,111,FALSE)</f>
        <v>54</v>
      </c>
      <c r="DT30" s="591">
        <f t="shared" si="42"/>
        <v>16</v>
      </c>
      <c r="DU30" s="591">
        <f t="shared" si="43"/>
        <v>16</v>
      </c>
    </row>
    <row r="31" spans="1:125" s="591" customFormat="1" ht="23.1" customHeight="1">
      <c r="A31" s="308">
        <f t="shared" si="9"/>
        <v>18</v>
      </c>
      <c r="B31" s="297" t="str">
        <f>IF(E31=0,"",VLOOKUP(E31,[10]liste!AM:AN,2,FALSE))</f>
        <v>Touche Rémy</v>
      </c>
      <c r="C31" s="298">
        <f>IF(E31=0,"",VLOOKUP(B31,[10]liste!AN:AP,3,FALSE))</f>
        <v>9</v>
      </c>
      <c r="D31" s="691">
        <f t="shared" si="10"/>
        <v>9</v>
      </c>
      <c r="E31" s="692">
        <f>LARGE([10]liste!AM:AM,16)</f>
        <v>964.05200000000002</v>
      </c>
      <c r="F31" s="693">
        <v>965</v>
      </c>
      <c r="G31" s="693">
        <v>963</v>
      </c>
      <c r="H31" s="693">
        <v>959</v>
      </c>
      <c r="I31" s="692">
        <v>954</v>
      </c>
      <c r="J31" s="693">
        <v>960</v>
      </c>
      <c r="K31" s="693">
        <v>978</v>
      </c>
      <c r="L31" s="693">
        <v>979</v>
      </c>
      <c r="M31" s="692">
        <v>959</v>
      </c>
      <c r="N31" s="692">
        <v>959</v>
      </c>
      <c r="O31" s="694"/>
      <c r="P31" s="695">
        <f t="shared" ca="1" si="11"/>
        <v>0</v>
      </c>
      <c r="Q31" s="170">
        <f t="shared" si="12"/>
        <v>-5.0520000000000209</v>
      </c>
      <c r="R31" s="696">
        <f ca="1">IF(U31&lt;MAX(U$16:U$81)/6.2,"NS",IF(B31="",0,VLOOKUP(B31,[10]résultats!AX:DH,63,FALSE)))</f>
        <v>0.76745938767799537</v>
      </c>
      <c r="S31" s="697" t="str">
        <f t="shared" si="13"/>
        <v>Touche Rémy</v>
      </c>
      <c r="T31" s="171">
        <f t="shared" ca="1" si="14"/>
        <v>33</v>
      </c>
      <c r="U31" s="172">
        <f t="shared" ca="1" si="14"/>
        <v>43</v>
      </c>
      <c r="V31" s="292">
        <f ca="1">IF(B31="",0,HLOOKUP(B31&amp;"a",[11]Feuil1!$A$27:$FX$48,20,FALSE)+RAND()*0.0001)</f>
        <v>1.0000634332808991</v>
      </c>
      <c r="W31" s="293">
        <f ca="1">IF(B31="",0,HLOOKUP(B31&amp;"a",[11]Feuil1!$A$27:$FX$48,21,FALSE))+RAND()*0.0001</f>
        <v>2.0000453185193852</v>
      </c>
      <c r="X31" s="725">
        <f t="shared" si="27"/>
        <v>759</v>
      </c>
      <c r="Y31" s="701">
        <f t="shared" si="15"/>
        <v>979</v>
      </c>
      <c r="Z31" s="1161"/>
      <c r="AA31" s="1161"/>
      <c r="AB31" s="1161"/>
      <c r="AC31" s="734"/>
      <c r="AD31" s="739" t="str">
        <f>IF(CN9="","",CN9&amp;"  "&amp;CN10&amp;" pts en Octobre")</f>
        <v>Franck H.  99 pts en Octobre</v>
      </c>
      <c r="AE31" s="581"/>
      <c r="AF31" s="581"/>
      <c r="AG31" s="554"/>
      <c r="AH31" s="306" t="str">
        <f ca="1">IF(AJ31&lt;=2,"",VLOOKUP(AJ31,[10]résultats!DJ:DK,2,FALSE))</f>
        <v>Morin Quentin</v>
      </c>
      <c r="AI31" s="305" t="str">
        <f ca="1">LARGE([10]résultats!DG:DG,2)&amp;" matchs"</f>
        <v>94 matchs</v>
      </c>
      <c r="AJ31" s="740">
        <f ca="1">LARGE([10]résultats!DJ:DJ,2)</f>
        <v>94.252911860063932</v>
      </c>
      <c r="AK31" s="677">
        <f t="shared" si="28"/>
        <v>46</v>
      </c>
      <c r="AL31" s="705" t="str">
        <f t="shared" si="16"/>
        <v>Touche Rémy</v>
      </c>
      <c r="AM31" s="706">
        <f>IF(OR(HLOOKUP($AL31&amp;"a",[11]Feuil1!$A$27:$EP$48,3,FALSE)=FALSE,HLOOKUP($AL31&amp;"a",[11]Feuil1!$A$27:$EP$48,3,FALSE)=""),0,HLOOKUP($AL31&amp;"a",[11]Feuil1!$A$27:$EP$48,3,FALSE))</f>
        <v>17</v>
      </c>
      <c r="AN31" s="706">
        <f>IF(HLOOKUP($AL31&amp;"aa",[11]Feuil1!$A$27:$EP$48,3,FALSE)=FALSE,0,HLOOKUP($AL31&amp;"aa",[11]Feuil1!$A$27:$EP$48,3,FALSE))</f>
        <v>0</v>
      </c>
      <c r="AO31" s="706">
        <f>IF(OR(HLOOKUP($AL31&amp;"a",[11]Feuil1!$A$27:$EP$48,4,FALSE)=FALSE,HLOOKUP($AL31&amp;"a",[11]Feuil1!$A$27:$EP$48,4,FALSE)=""),0,HLOOKUP($AL31&amp;"a",[11]Feuil1!$A$27:$EP$48,4,FALSE))</f>
        <v>5</v>
      </c>
      <c r="AP31" s="706">
        <f>IF(HLOOKUP($AL31&amp;"aa",[11]Feuil1!$A$27:$EP$48,4,FALSE)=FALSE,0,HLOOKUP($AL31&amp;"aa",[11]Feuil1!$A$27:$EP$48,4,FALSE))</f>
        <v>0</v>
      </c>
      <c r="AQ31" s="706">
        <f>IF(OR(HLOOKUP($AL31&amp;"a",[11]Feuil1!$A$27:$EP$48,5,FALSE)=FALSE,HLOOKUP($AL31&amp;"a",[11]Feuil1!$A$27:$EP$48,5,FALSE)=""),0,HLOOKUP($AL31&amp;"a",[11]Feuil1!$A$27:$EP$48,5,FALSE))</f>
        <v>3</v>
      </c>
      <c r="AR31" s="706">
        <f>IF(HLOOKUP($AL31&amp;"aa",[11]Feuil1!$A$27:$EP$48,5,FALSE)=FALSE,0,HLOOKUP($AL31&amp;"aa",[11]Feuil1!$A$27:$EP$48,5,FALSE))</f>
        <v>1</v>
      </c>
      <c r="AS31" s="706">
        <f>IF(OR(HLOOKUP($AL31&amp;"a",[11]Feuil1!$A$27:$EP$48,6,FALSE)=FALSE,HLOOKUP($AL31&amp;"a",[11]Feuil1!$A$27:$EP$48,6,FALSE)=""),0,HLOOKUP($AL31&amp;"a",[11]Feuil1!$A$27:$EP$48,6,FALSE))</f>
        <v>5</v>
      </c>
      <c r="AT31" s="706">
        <f>IF(HLOOKUP($AL31&amp;"aa",[11]Feuil1!$A$27:$EP$48,6,FALSE)=FALSE,0,HLOOKUP($AL31&amp;"aa",[11]Feuil1!$A$27:$EP$48,6,FALSE))</f>
        <v>1</v>
      </c>
      <c r="AU31" s="706">
        <f>IF(OR(HLOOKUP($AL31&amp;"a",[11]Feuil1!$A$27:$EP$48,7,FALSE)=FALSE,HLOOKUP($AL31&amp;"a",[11]Feuil1!$A$27:$EP$48,7,FALSE)=""),0,HLOOKUP($AL31&amp;"a",[11]Feuil1!$A$27:$EP$48,7,FALSE))</f>
        <v>3</v>
      </c>
      <c r="AV31" s="706">
        <f>IF(HLOOKUP($AL31&amp;"aa",[11]Feuil1!$A$27:$EP$48,7,FALSE)=FALSE,0,HLOOKUP($AL31&amp;"aa",[11]Feuil1!$A$27:$EP$48,7,FALSE))</f>
        <v>3</v>
      </c>
      <c r="AW31" s="706">
        <f>IF(OR(HLOOKUP($AL31&amp;"a",[11]Feuil1!$A$27:$EP$48,8,FALSE)=FALSE,HLOOKUP($AL31&amp;"a",[11]Feuil1!$A$27:$EP$48,8,FALSE)=""),0,HLOOKUP($AL31&amp;"a",[11]Feuil1!$A$27:$EP$48,8,FALSE))</f>
        <v>1</v>
      </c>
      <c r="AX31" s="706">
        <f>IF(HLOOKUP($AL31&amp;"aa",[11]Feuil1!$A$27:$EP$48,8,FALSE)=FALSE,0,HLOOKUP($AL31&amp;"aa",[11]Feuil1!$A$27:$EP$48,8,FALSE))</f>
        <v>6</v>
      </c>
      <c r="AY31" s="706">
        <f>IF(OR(HLOOKUP($AL31&amp;"a",[11]Feuil1!$A$27:$EP$48,9,FALSE)=FALSE,HLOOKUP($AL31&amp;"a",[11]Feuil1!$A$27:$EP$48,9,FALSE)=""),0,HLOOKUP($AL31&amp;"a",[11]Feuil1!$A$27:$EP$48,9,FALSE))</f>
        <v>0</v>
      </c>
      <c r="AZ31" s="706">
        <f>IF(HLOOKUP($AL31&amp;"aa",[11]Feuil1!$A$27:$EP$48,9,FALSE)=FALSE,0,HLOOKUP($AL31&amp;"aa",[11]Feuil1!$A$27:$EP$48,9,FALSE))</f>
        <v>1</v>
      </c>
      <c r="BA31" s="706">
        <f>IF(OR(HLOOKUP($AL31&amp;"a",[11]Feuil1!$A$27:$EP$48,10,FALSE)=FALSE,HLOOKUP($AL31&amp;"a",[11]Feuil1!$A$27:$EP$48,10,FALSE)=""),0,HLOOKUP($AL31&amp;"a",[11]Feuil1!$A$27:$EP$48,10,FALSE))</f>
        <v>0</v>
      </c>
      <c r="BB31" s="706">
        <f>IF(HLOOKUP($AL31&amp;"aa",[11]Feuil1!$A$27:$EP$48,10,FALSE)=FALSE,0,HLOOKUP($AL31&amp;"aa",[11]Feuil1!$A$27:$EP$48,10,FALSE))</f>
        <v>0</v>
      </c>
      <c r="BC31" s="706">
        <f>IF(OR(HLOOKUP($AL31&amp;"a",[11]Feuil1!$A$27:$EP$48,11,FALSE)=FALSE,HLOOKUP($AL31&amp;"a",[11]Feuil1!$A$27:$EP$48,11,FALSE)=""),0,HLOOKUP($AL31&amp;"a",[11]Feuil1!$A$27:$EP$48,11,FALSE))</f>
        <v>0</v>
      </c>
      <c r="BD31" s="706">
        <f>IF(HLOOKUP($AL31&amp;"aa",[11]Feuil1!$A$27:$EP$48,11,FALSE)=FALSE,0,HLOOKUP($AL31&amp;"aa",[11]Feuil1!$A$27:$EP$48,11,FALSE))</f>
        <v>0</v>
      </c>
      <c r="BE31" s="706">
        <f>IF(OR(HLOOKUP($AL31&amp;"a",[11]Feuil1!$A$27:$EP$48,12,FALSE)=FALSE,HLOOKUP($AL31&amp;"a",[11]Feuil1!$A$27:$EP$48,12,FALSE)=""),0,HLOOKUP($AL31&amp;"a",[11]Feuil1!$A$27:$EP$48,12,FALSE))</f>
        <v>0</v>
      </c>
      <c r="BF31" s="706">
        <f>IF(HLOOKUP($AL31&amp;"aa",[11]Feuil1!$A$27:$EP$48,12,FALSE)=FALSE,0,HLOOKUP($AL31&amp;"aa",[11]Feuil1!$A$27:$EP$48,12,FALSE))</f>
        <v>0</v>
      </c>
      <c r="BG31" s="706">
        <f>IF(OR(HLOOKUP($AL31&amp;"a",[11]Feuil1!$A$27:$EP$48,13,FALSE)=FALSE,HLOOKUP($AL31&amp;"a",[11]Feuil1!$A$27:$EP$48,13,FALSE)=""),0,HLOOKUP($AL31&amp;"a",[11]Feuil1!$A$27:$EP$48,13,FALSE))</f>
        <v>0</v>
      </c>
      <c r="BH31" s="706">
        <f>IF(HLOOKUP($AL31&amp;"aa",[11]Feuil1!$A$27:$EP$48,13,FALSE)=FALSE,0,HLOOKUP($AL31&amp;"aa",[11]Feuil1!$A$27:$EP$48,13,FALSE))</f>
        <v>0</v>
      </c>
      <c r="BI31" s="706">
        <f>IF(OR(HLOOKUP($AL31&amp;"a",[11]Feuil1!$A$27:$EP$48,14,FALSE)=FALSE,HLOOKUP($AL31&amp;"a",[11]Feuil1!$A$27:$EP$48,14,FALSE)=""),0,HLOOKUP($AL31&amp;"a",[11]Feuil1!$A$27:$EP$48,14,FALSE))</f>
        <v>0</v>
      </c>
      <c r="BJ31" s="706">
        <f>IF(HLOOKUP($AL31&amp;"aa",[11]Feuil1!$A$27:$EP$48,14,FALSE)=FALSE,0,HLOOKUP($AL31&amp;"aa",[11]Feuil1!$A$27:$EP$48,14,FALSE))</f>
        <v>0</v>
      </c>
      <c r="BK31" s="706">
        <f>IF(OR(HLOOKUP($AL31&amp;"a",[11]Feuil1!$A$27:$EP$48,15,FALSE)=FALSE,HLOOKUP($AL31&amp;"a",[11]Feuil1!$A$27:$EP$48,15,FALSE)=""),0,HLOOKUP($AL31&amp;"a",[11]Feuil1!$A$27:$EP$48,15,FALSE))</f>
        <v>0</v>
      </c>
      <c r="BL31" s="706">
        <f>IF(HLOOKUP($AL31&amp;"aa",[11]Feuil1!$A$27:$EP$48,15,FALSE)=FALSE,0,HLOOKUP($AL31&amp;"aa",[11]Feuil1!$A$27:$EP$48,15,FALSE))</f>
        <v>0</v>
      </c>
      <c r="BM31" s="706">
        <f>IF(OR(HLOOKUP($AL31&amp;"a",[11]Feuil1!$A$27:$EP$48,16,FALSE)=FALSE,HLOOKUP($AL31&amp;"a",[11]Feuil1!$A$27:$EP$48,16,FALSE)=""),0,HLOOKUP($AL31&amp;"a",[11]Feuil1!$A$27:$EP$48,16,FALSE))</f>
        <v>0</v>
      </c>
      <c r="BN31" s="706">
        <f>IF(HLOOKUP($AL31&amp;"aa",[11]Feuil1!$A$27:$EP$48,16,FALSE)=FALSE,0,HLOOKUP($AL31&amp;"aa",[11]Feuil1!$A$27:$EP$48,16,FALSE))</f>
        <v>0</v>
      </c>
      <c r="BO31" s="706">
        <f>IF(OR(HLOOKUP($AL31&amp;"a",[11]Feuil1!$A$27:$EP$48,17,FALSE)=FALSE,HLOOKUP($AL31&amp;"a",[11]Feuil1!$A$27:$EP$48,17,FALSE)=""),0,HLOOKUP($AL31&amp;"a",[11]Feuil1!$A$27:$EP$48,17,FALSE))</f>
        <v>0</v>
      </c>
      <c r="BP31" s="706">
        <f>IF(HLOOKUP($AL31&amp;"aa",[11]Feuil1!$A$27:$EP$48,17,FALSE)=FALSE,0,HLOOKUP($AL31&amp;"aa",[11]Feuil1!$A$27:$EP$48,17,FALSE))</f>
        <v>0</v>
      </c>
      <c r="BQ31" s="706">
        <f>IF(OR(HLOOKUP($AL31&amp;"a",[11]Feuil1!$A$27:$EP$48,18,FALSE)=FALSE,HLOOKUP($AL31&amp;"a",[11]Feuil1!$A$27:$EP$48,18,FALSE)=""),0,HLOOKUP($AL31&amp;"a",[11]Feuil1!$A$27:$EP$48,18,FALSE))</f>
        <v>0</v>
      </c>
      <c r="BR31" s="706">
        <f>IF(HLOOKUP($AL31&amp;"aa",[11]Feuil1!$A$27:$EP$48,18,FALSE)=FALSE,0,HLOOKUP($AL31&amp;"aa",[11]Feuil1!$A$27:$EP$48,18,FALSE))</f>
        <v>0</v>
      </c>
      <c r="BS31" s="707">
        <f t="shared" si="29"/>
        <v>6.2647058823529411</v>
      </c>
      <c r="BT31" s="707">
        <f t="shared" si="30"/>
        <v>9.4166666666666661</v>
      </c>
      <c r="BU31" s="707">
        <f t="shared" si="31"/>
        <v>7.0869565217391308</v>
      </c>
      <c r="BV31" s="708">
        <f t="shared" ca="1" si="32"/>
        <v>33</v>
      </c>
      <c r="BW31" s="708">
        <f t="shared" ca="1" si="33"/>
        <v>10</v>
      </c>
      <c r="BX31" t="str">
        <f t="shared" si="34"/>
        <v>LE PICHON Nicolas</v>
      </c>
      <c r="BY31" s="726">
        <v>16</v>
      </c>
      <c r="BZ31" s="727" t="s">
        <v>564</v>
      </c>
      <c r="CA31" s="728" t="s">
        <v>565</v>
      </c>
      <c r="CB31" s="726">
        <v>6</v>
      </c>
      <c r="CC31" s="729" t="s">
        <v>566</v>
      </c>
      <c r="CD31" s="726" t="s">
        <v>536</v>
      </c>
      <c r="CE31" s="591" t="str">
        <f t="shared" si="35"/>
        <v>1015.00</v>
      </c>
      <c r="CF31" s="561"/>
      <c r="CG31" s="561"/>
      <c r="CH31" s="561"/>
      <c r="CI31" s="714"/>
      <c r="CK31" s="715">
        <f t="shared" si="36"/>
        <v>18</v>
      </c>
      <c r="CL31" s="591">
        <f t="shared" si="17"/>
        <v>0</v>
      </c>
      <c r="CM31" s="716">
        <f t="shared" si="18"/>
        <v>0.94799999999997908</v>
      </c>
      <c r="CN31" s="716">
        <f t="shared" si="18"/>
        <v>-2</v>
      </c>
      <c r="CO31" s="716">
        <f t="shared" si="18"/>
        <v>-4</v>
      </c>
      <c r="CP31" s="716">
        <f t="shared" si="18"/>
        <v>-5</v>
      </c>
      <c r="CQ31" s="716">
        <f t="shared" si="18"/>
        <v>6</v>
      </c>
      <c r="CR31" s="716">
        <f t="shared" si="18"/>
        <v>18</v>
      </c>
      <c r="CS31" s="716">
        <f t="shared" si="18"/>
        <v>1</v>
      </c>
      <c r="CT31" s="716">
        <f t="shared" si="18"/>
        <v>-20</v>
      </c>
      <c r="CU31" s="716">
        <f t="shared" si="18"/>
        <v>0</v>
      </c>
      <c r="CV31" s="717" t="str">
        <f t="shared" si="37"/>
        <v>faux</v>
      </c>
      <c r="CW31" s="718">
        <f>IF(E31=0,"",VLOOKUP(B31,[10]liste!AU:BD,10,FALSE))</f>
        <v>2</v>
      </c>
      <c r="CX31" s="719">
        <f t="shared" si="19"/>
        <v>959</v>
      </c>
      <c r="CY31" s="720">
        <f t="shared" si="38"/>
        <v>9</v>
      </c>
      <c r="CZ31" s="736"/>
      <c r="DA31" s="741" t="e">
        <f>#REF!</f>
        <v>#REF!</v>
      </c>
      <c r="DB31" s="738" t="e">
        <f t="shared" si="44"/>
        <v>#REF!</v>
      </c>
      <c r="DC31" s="722" t="str">
        <f t="shared" ca="1" si="20"/>
        <v/>
      </c>
      <c r="DE31" s="723">
        <f t="shared" si="21"/>
        <v>964.05200000000002</v>
      </c>
      <c r="DF31" s="723">
        <f t="shared" si="22"/>
        <v>959</v>
      </c>
      <c r="DG31" s="697" t="str">
        <f t="shared" si="23"/>
        <v>Touche Rémy</v>
      </c>
      <c r="DH31" s="724">
        <f t="shared" si="24"/>
        <v>-2</v>
      </c>
      <c r="DI31" s="724">
        <f t="shared" si="39"/>
        <v>2</v>
      </c>
      <c r="DJ31" s="719">
        <f t="shared" si="25"/>
        <v>954</v>
      </c>
      <c r="DK31" s="719" t="str">
        <f t="shared" si="26"/>
        <v/>
      </c>
      <c r="DL31" s="719" t="str">
        <f t="shared" si="40"/>
        <v/>
      </c>
      <c r="DM31" s="719"/>
      <c r="DN31" s="719"/>
      <c r="DO31" s="719"/>
      <c r="DP31" s="720">
        <f t="shared" si="41"/>
        <v>9</v>
      </c>
      <c r="DQ31" s="591">
        <f ca="1">VLOOKUP(DG31,[10]résultats!$A$2:$DE$70,109,FALSE)</f>
        <v>33</v>
      </c>
      <c r="DR31" s="591">
        <f ca="1">VLOOKUP(DG31,[10]résultats!$A$2:$DG$70,111,FALSE)</f>
        <v>43</v>
      </c>
      <c r="DT31" s="591">
        <f t="shared" si="42"/>
        <v>17</v>
      </c>
      <c r="DU31" s="591">
        <f t="shared" si="43"/>
        <v>18</v>
      </c>
    </row>
    <row r="32" spans="1:125" s="591" customFormat="1" ht="23.1" customHeight="1">
      <c r="A32" s="308">
        <f t="shared" si="9"/>
        <v>9</v>
      </c>
      <c r="B32" s="297" t="str">
        <f>IF(E32=0,"",VLOOKUP(E32,[10]liste!AM:AN,2,FALSE))</f>
        <v>Hilton Franck</v>
      </c>
      <c r="C32" s="298">
        <f>IF(E32=0,"",VLOOKUP(B32,[10]liste!AN:AP,3,FALSE))</f>
        <v>9</v>
      </c>
      <c r="D32" s="691">
        <f t="shared" si="10"/>
        <v>13</v>
      </c>
      <c r="E32" s="692">
        <f>LARGE([10]liste!AM:AM,17)</f>
        <v>939.06700000000001</v>
      </c>
      <c r="F32" s="693">
        <v>960</v>
      </c>
      <c r="G32" s="693">
        <v>1059</v>
      </c>
      <c r="H32" s="693">
        <v>1163</v>
      </c>
      <c r="I32" s="692">
        <v>1196</v>
      </c>
      <c r="J32" s="693">
        <v>1223</v>
      </c>
      <c r="K32" s="693">
        <v>1224</v>
      </c>
      <c r="L32" s="693">
        <v>1271</v>
      </c>
      <c r="M32" s="692">
        <v>1333</v>
      </c>
      <c r="N32" s="692">
        <v>1342</v>
      </c>
      <c r="O32" s="694"/>
      <c r="P32" s="695">
        <f t="shared" ca="1" si="11"/>
        <v>9</v>
      </c>
      <c r="Q32" s="170">
        <f t="shared" si="12"/>
        <v>402.93299999999999</v>
      </c>
      <c r="R32" s="696">
        <f ca="1">IF(U32&lt;MAX(U$16:U$81)/6.2,"NS",IF(B32="",0,VLOOKUP(B32,[10]résultats!AX:DH,63,FALSE)))</f>
        <v>0.77027760658521327</v>
      </c>
      <c r="S32" s="697" t="str">
        <f t="shared" si="13"/>
        <v>Hilton Franck</v>
      </c>
      <c r="T32" s="171">
        <f t="shared" ca="1" si="14"/>
        <v>57</v>
      </c>
      <c r="U32" s="172">
        <f t="shared" ca="1" si="14"/>
        <v>74</v>
      </c>
      <c r="V32" s="292">
        <f ca="1">IF(B32="",0,HLOOKUP(B32&amp;"a",[11]Feuil1!$A$27:$FX$48,20,FALSE)+RAND()*0.0001)</f>
        <v>10.000026560148559</v>
      </c>
      <c r="W32" s="293">
        <f ca="1">IF(B32="",0,HLOOKUP(B32&amp;"a",[11]Feuil1!$A$27:$FX$48,21,FALSE))+RAND()*0.0001</f>
        <v>5.0000953308477856</v>
      </c>
      <c r="X32" s="725">
        <f t="shared" si="27"/>
        <v>1116</v>
      </c>
      <c r="Y32" s="701">
        <f t="shared" si="15"/>
        <v>1342</v>
      </c>
      <c r="Z32" s="1161"/>
      <c r="AA32" s="1161"/>
      <c r="AB32" s="1161"/>
      <c r="AC32" s="734"/>
      <c r="AD32" s="739" t="str">
        <f>IF(CO9="","",CO9&amp;"  "&amp;'points et TOP'!CO10&amp;" pts en Novembre")</f>
        <v>Franck H.  104 pts en Novembre</v>
      </c>
      <c r="AE32" s="581"/>
      <c r="AF32" s="581"/>
      <c r="AG32" s="554"/>
      <c r="AH32" s="306" t="str">
        <f ca="1">IF(AJ32&lt;=2,"",VLOOKUP(AJ32,[10]résultats!DJ:DK,2,FALSE))</f>
        <v>Zaragoza Quentin</v>
      </c>
      <c r="AI32" s="305" t="str">
        <f ca="1">LARGE([10]résultats!DG:DG,3)&amp;" matchs"</f>
        <v>82 matchs</v>
      </c>
      <c r="AJ32" s="740">
        <f ca="1">LARGE([10]résultats!DJ:DJ,3)</f>
        <v>82.809913492360351</v>
      </c>
      <c r="AK32" s="677">
        <f t="shared" si="28"/>
        <v>89</v>
      </c>
      <c r="AL32" s="705" t="str">
        <f t="shared" si="16"/>
        <v>Hilton Franck</v>
      </c>
      <c r="AM32" s="706">
        <f>IF(OR(HLOOKUP($AL32&amp;"a",[11]Feuil1!$A$27:$EP$48,3,FALSE)=FALSE,HLOOKUP($AL32&amp;"a",[11]Feuil1!$A$27:$EP$48,3,FALSE)=""),0,HLOOKUP($AL32&amp;"a",[11]Feuil1!$A$27:$EP$48,3,FALSE))</f>
        <v>1</v>
      </c>
      <c r="AN32" s="706">
        <f>IF(HLOOKUP($AL32&amp;"aa",[11]Feuil1!$A$27:$EP$48,3,FALSE)=FALSE,0,HLOOKUP($AL32&amp;"aa",[11]Feuil1!$A$27:$EP$48,3,FALSE))</f>
        <v>0</v>
      </c>
      <c r="AO32" s="706">
        <f>IF(OR(HLOOKUP($AL32&amp;"a",[11]Feuil1!$A$27:$EP$48,4,FALSE)=FALSE,HLOOKUP($AL32&amp;"a",[11]Feuil1!$A$27:$EP$48,4,FALSE)=""),0,HLOOKUP($AL32&amp;"a",[11]Feuil1!$A$27:$EP$48,4,FALSE))</f>
        <v>2</v>
      </c>
      <c r="AP32" s="706">
        <f>IF(HLOOKUP($AL32&amp;"aa",[11]Feuil1!$A$27:$EP$48,4,FALSE)=FALSE,0,HLOOKUP($AL32&amp;"aa",[11]Feuil1!$A$27:$EP$48,4,FALSE))</f>
        <v>0</v>
      </c>
      <c r="AQ32" s="706">
        <f>IF(OR(HLOOKUP($AL32&amp;"a",[11]Feuil1!$A$27:$EP$48,5,FALSE)=FALSE,HLOOKUP($AL32&amp;"a",[11]Feuil1!$A$27:$EP$48,5,FALSE)=""),0,HLOOKUP($AL32&amp;"a",[11]Feuil1!$A$27:$EP$48,5,FALSE))</f>
        <v>1</v>
      </c>
      <c r="AR32" s="706">
        <f>IF(HLOOKUP($AL32&amp;"aa",[11]Feuil1!$A$27:$EP$48,5,FALSE)=FALSE,0,HLOOKUP($AL32&amp;"aa",[11]Feuil1!$A$27:$EP$48,5,FALSE))</f>
        <v>0</v>
      </c>
      <c r="AS32" s="706">
        <f>IF(OR(HLOOKUP($AL32&amp;"a",[11]Feuil1!$A$27:$EP$48,6,FALSE)=FALSE,HLOOKUP($AL32&amp;"a",[11]Feuil1!$A$27:$EP$48,6,FALSE)=""),0,HLOOKUP($AL32&amp;"a",[11]Feuil1!$A$27:$EP$48,6,FALSE))</f>
        <v>9</v>
      </c>
      <c r="AT32" s="706">
        <f>IF(HLOOKUP($AL32&amp;"aa",[11]Feuil1!$A$27:$EP$48,6,FALSE)=FALSE,0,HLOOKUP($AL32&amp;"aa",[11]Feuil1!$A$27:$EP$48,6,FALSE))</f>
        <v>0</v>
      </c>
      <c r="AU32" s="706">
        <f>IF(OR(HLOOKUP($AL32&amp;"a",[11]Feuil1!$A$27:$EP$48,7,FALSE)=FALSE,HLOOKUP($AL32&amp;"a",[11]Feuil1!$A$27:$EP$48,7,FALSE)=""),0,HLOOKUP($AL32&amp;"a",[11]Feuil1!$A$27:$EP$48,7,FALSE))</f>
        <v>14</v>
      </c>
      <c r="AV32" s="706">
        <f>IF(HLOOKUP($AL32&amp;"aa",[11]Feuil1!$A$27:$EP$48,7,FALSE)=FALSE,0,HLOOKUP($AL32&amp;"aa",[11]Feuil1!$A$27:$EP$48,7,FALSE))</f>
        <v>0</v>
      </c>
      <c r="AW32" s="706">
        <f>IF(OR(HLOOKUP($AL32&amp;"a",[11]Feuil1!$A$27:$EP$48,8,FALSE)=FALSE,HLOOKUP($AL32&amp;"a",[11]Feuil1!$A$27:$EP$48,8,FALSE)=""),0,HLOOKUP($AL32&amp;"a",[11]Feuil1!$A$27:$EP$48,8,FALSE))</f>
        <v>22</v>
      </c>
      <c r="AX32" s="706">
        <f>IF(HLOOKUP($AL32&amp;"aa",[11]Feuil1!$A$27:$EP$48,8,FALSE)=FALSE,0,HLOOKUP($AL32&amp;"aa",[11]Feuil1!$A$27:$EP$48,8,FALSE))</f>
        <v>5</v>
      </c>
      <c r="AY32" s="706">
        <f>IF(OR(HLOOKUP($AL32&amp;"a",[11]Feuil1!$A$27:$EP$48,9,FALSE)=FALSE,HLOOKUP($AL32&amp;"a",[11]Feuil1!$A$27:$EP$48,9,FALSE)=""),0,HLOOKUP($AL32&amp;"a",[11]Feuil1!$A$27:$EP$48,9,FALSE))</f>
        <v>11</v>
      </c>
      <c r="AZ32" s="706">
        <f>IF(HLOOKUP($AL32&amp;"aa",[11]Feuil1!$A$27:$EP$48,9,FALSE)=FALSE,0,HLOOKUP($AL32&amp;"aa",[11]Feuil1!$A$27:$EP$48,9,FALSE))</f>
        <v>1</v>
      </c>
      <c r="BA32" s="706">
        <f>IF(OR(HLOOKUP($AL32&amp;"a",[11]Feuil1!$A$27:$EP$48,10,FALSE)=FALSE,HLOOKUP($AL32&amp;"a",[11]Feuil1!$A$27:$EP$48,10,FALSE)=""),0,HLOOKUP($AL32&amp;"a",[11]Feuil1!$A$27:$EP$48,10,FALSE))</f>
        <v>7</v>
      </c>
      <c r="BB32" s="706">
        <f>IF(HLOOKUP($AL32&amp;"aa",[11]Feuil1!$A$27:$EP$48,10,FALSE)=FALSE,0,HLOOKUP($AL32&amp;"aa",[11]Feuil1!$A$27:$EP$48,10,FALSE))</f>
        <v>2</v>
      </c>
      <c r="BC32" s="706">
        <f>IF(OR(HLOOKUP($AL32&amp;"a",[11]Feuil1!$A$27:$EP$48,11,FALSE)=FALSE,HLOOKUP($AL32&amp;"a",[11]Feuil1!$A$27:$EP$48,11,FALSE)=""),0,HLOOKUP($AL32&amp;"a",[11]Feuil1!$A$27:$EP$48,11,FALSE))</f>
        <v>2</v>
      </c>
      <c r="BD32" s="706">
        <f>IF(HLOOKUP($AL32&amp;"aa",[11]Feuil1!$A$27:$EP$48,11,FALSE)=FALSE,0,HLOOKUP($AL32&amp;"aa",[11]Feuil1!$A$27:$EP$48,11,FALSE))</f>
        <v>1</v>
      </c>
      <c r="BE32" s="706">
        <f>IF(OR(HLOOKUP($AL32&amp;"a",[11]Feuil1!$A$27:$EP$48,12,FALSE)=FALSE,HLOOKUP($AL32&amp;"a",[11]Feuil1!$A$27:$EP$48,12,FALSE)=""),0,HLOOKUP($AL32&amp;"a",[11]Feuil1!$A$27:$EP$48,12,FALSE))</f>
        <v>1</v>
      </c>
      <c r="BF32" s="706">
        <f>IF(HLOOKUP($AL32&amp;"aa",[11]Feuil1!$A$27:$EP$48,12,FALSE)=FALSE,0,HLOOKUP($AL32&amp;"aa",[11]Feuil1!$A$27:$EP$48,12,FALSE))</f>
        <v>1</v>
      </c>
      <c r="BG32" s="706">
        <f>IF(OR(HLOOKUP($AL32&amp;"a",[11]Feuil1!$A$27:$EP$48,13,FALSE)=FALSE,HLOOKUP($AL32&amp;"a",[11]Feuil1!$A$27:$EP$48,13,FALSE)=""),0,HLOOKUP($AL32&amp;"a",[11]Feuil1!$A$27:$EP$48,13,FALSE))</f>
        <v>0</v>
      </c>
      <c r="BH32" s="706">
        <f>IF(HLOOKUP($AL32&amp;"aa",[11]Feuil1!$A$27:$EP$48,13,FALSE)=FALSE,0,HLOOKUP($AL32&amp;"aa",[11]Feuil1!$A$27:$EP$48,13,FALSE))</f>
        <v>1</v>
      </c>
      <c r="BI32" s="706">
        <f>IF(OR(HLOOKUP($AL32&amp;"a",[11]Feuil1!$A$27:$EP$48,14,FALSE)=FALSE,HLOOKUP($AL32&amp;"a",[11]Feuil1!$A$27:$EP$48,14,FALSE)=""),0,HLOOKUP($AL32&amp;"a",[11]Feuil1!$A$27:$EP$48,14,FALSE))</f>
        <v>1</v>
      </c>
      <c r="BJ32" s="706">
        <f>IF(HLOOKUP($AL32&amp;"aa",[11]Feuil1!$A$27:$EP$48,14,FALSE)=FALSE,0,HLOOKUP($AL32&amp;"aa",[11]Feuil1!$A$27:$EP$48,14,FALSE))</f>
        <v>2</v>
      </c>
      <c r="BK32" s="706">
        <f>IF(OR(HLOOKUP($AL32&amp;"a",[11]Feuil1!$A$27:$EP$48,15,FALSE)=FALSE,HLOOKUP($AL32&amp;"a",[11]Feuil1!$A$27:$EP$48,15,FALSE)=""),0,HLOOKUP($AL32&amp;"a",[11]Feuil1!$A$27:$EP$48,15,FALSE))</f>
        <v>0</v>
      </c>
      <c r="BL32" s="706">
        <f>IF(HLOOKUP($AL32&amp;"aa",[11]Feuil1!$A$27:$EP$48,15,FALSE)=FALSE,0,HLOOKUP($AL32&amp;"aa",[11]Feuil1!$A$27:$EP$48,15,FALSE))</f>
        <v>4</v>
      </c>
      <c r="BM32" s="706">
        <f>IF(OR(HLOOKUP($AL32&amp;"a",[11]Feuil1!$A$27:$EP$48,16,FALSE)=FALSE,HLOOKUP($AL32&amp;"a",[11]Feuil1!$A$27:$EP$48,16,FALSE)=""),0,HLOOKUP($AL32&amp;"a",[11]Feuil1!$A$27:$EP$48,16,FALSE))</f>
        <v>0</v>
      </c>
      <c r="BN32" s="706">
        <f>IF(HLOOKUP($AL32&amp;"aa",[11]Feuil1!$A$27:$EP$48,16,FALSE)=FALSE,0,HLOOKUP($AL32&amp;"aa",[11]Feuil1!$A$27:$EP$48,16,FALSE))</f>
        <v>0</v>
      </c>
      <c r="BO32" s="706">
        <f>IF(OR(HLOOKUP($AL32&amp;"a",[11]Feuil1!$A$27:$EP$48,17,FALSE)=FALSE,HLOOKUP($AL32&amp;"a",[11]Feuil1!$A$27:$EP$48,17,FALSE)=""),0,HLOOKUP($AL32&amp;"a",[11]Feuil1!$A$27:$EP$48,17,FALSE))</f>
        <v>0</v>
      </c>
      <c r="BP32" s="706">
        <f>IF(HLOOKUP($AL32&amp;"aa",[11]Feuil1!$A$27:$EP$48,17,FALSE)=FALSE,0,HLOOKUP($AL32&amp;"aa",[11]Feuil1!$A$27:$EP$48,17,FALSE))</f>
        <v>1</v>
      </c>
      <c r="BQ32" s="706">
        <f>IF(OR(HLOOKUP($AL32&amp;"a",[11]Feuil1!$A$27:$EP$48,18,FALSE)=FALSE,HLOOKUP($AL32&amp;"a",[11]Feuil1!$A$27:$EP$48,18,FALSE)=""),0,HLOOKUP($AL32&amp;"a",[11]Feuil1!$A$27:$EP$48,18,FALSE))</f>
        <v>0</v>
      </c>
      <c r="BR32" s="706">
        <f>IF(HLOOKUP($AL32&amp;"aa",[11]Feuil1!$A$27:$EP$48,18,FALSE)=FALSE,0,HLOOKUP($AL32&amp;"aa",[11]Feuil1!$A$27:$EP$48,18,FALSE))</f>
        <v>0</v>
      </c>
      <c r="BS32" s="707">
        <f t="shared" si="29"/>
        <v>9.9014084507042259</v>
      </c>
      <c r="BT32" s="707">
        <f t="shared" si="30"/>
        <v>13.666666666666666</v>
      </c>
      <c r="BU32" s="707">
        <f t="shared" si="31"/>
        <v>10.662921348314606</v>
      </c>
      <c r="BV32" s="708">
        <f t="shared" ca="1" si="32"/>
        <v>57</v>
      </c>
      <c r="BW32" s="708">
        <f t="shared" ca="1" si="33"/>
        <v>17</v>
      </c>
      <c r="BX32" t="str">
        <f t="shared" si="34"/>
        <v>LECOSSIER Michel</v>
      </c>
      <c r="BY32" s="709">
        <v>17</v>
      </c>
      <c r="BZ32" s="710" t="s">
        <v>567</v>
      </c>
      <c r="CA32" s="711" t="s">
        <v>568</v>
      </c>
      <c r="CB32" s="709">
        <v>9</v>
      </c>
      <c r="CC32" s="712" t="s">
        <v>569</v>
      </c>
      <c r="CD32" s="709" t="s">
        <v>517</v>
      </c>
      <c r="CE32" s="591" t="e">
        <f t="shared" si="35"/>
        <v>#N/A</v>
      </c>
      <c r="CF32" s="561"/>
      <c r="CG32" s="561"/>
      <c r="CH32" s="561"/>
      <c r="CI32" s="714"/>
      <c r="CK32" s="715">
        <f t="shared" si="36"/>
        <v>104</v>
      </c>
      <c r="CL32" s="591">
        <f t="shared" si="17"/>
        <v>2</v>
      </c>
      <c r="CM32" s="716">
        <f t="shared" ref="CM32:CU61" si="45">IF(F32="","",F32-E32)</f>
        <v>20.932999999999993</v>
      </c>
      <c r="CN32" s="716">
        <f t="shared" si="45"/>
        <v>99</v>
      </c>
      <c r="CO32" s="716">
        <f t="shared" si="45"/>
        <v>104</v>
      </c>
      <c r="CP32" s="716">
        <f t="shared" si="45"/>
        <v>33</v>
      </c>
      <c r="CQ32" s="716">
        <f t="shared" si="45"/>
        <v>27</v>
      </c>
      <c r="CR32" s="716">
        <f t="shared" si="45"/>
        <v>1</v>
      </c>
      <c r="CS32" s="716">
        <f t="shared" si="45"/>
        <v>47</v>
      </c>
      <c r="CT32" s="716">
        <f t="shared" si="45"/>
        <v>62</v>
      </c>
      <c r="CU32" s="716">
        <f t="shared" si="45"/>
        <v>9</v>
      </c>
      <c r="CV32" s="717" t="str">
        <f t="shared" si="37"/>
        <v>faux</v>
      </c>
      <c r="CW32" s="718">
        <f>IF(E32=0,"",VLOOKUP(B32,[10]liste!AU:BD,10,FALSE))</f>
        <v>2</v>
      </c>
      <c r="CX32" s="719">
        <f t="shared" si="19"/>
        <v>1342</v>
      </c>
      <c r="CY32" s="720">
        <f t="shared" si="38"/>
        <v>13</v>
      </c>
      <c r="CZ32" s="736"/>
      <c r="DA32" s="741" t="e">
        <f>#REF!</f>
        <v>#REF!</v>
      </c>
      <c r="DB32" s="738" t="e">
        <f t="shared" si="44"/>
        <v>#REF!</v>
      </c>
      <c r="DC32" s="722" t="str">
        <f t="shared" ca="1" si="20"/>
        <v>x</v>
      </c>
      <c r="DE32" s="723">
        <f t="shared" si="21"/>
        <v>939.06700000000001</v>
      </c>
      <c r="DF32" s="723">
        <f t="shared" si="22"/>
        <v>1342</v>
      </c>
      <c r="DG32" s="697" t="str">
        <f t="shared" si="23"/>
        <v>Hilton Franck</v>
      </c>
      <c r="DH32" s="724">
        <f t="shared" si="24"/>
        <v>9</v>
      </c>
      <c r="DI32" s="724">
        <f t="shared" si="39"/>
        <v>2</v>
      </c>
      <c r="DJ32" s="719">
        <f t="shared" si="25"/>
        <v>1196</v>
      </c>
      <c r="DK32" s="719" t="str">
        <f t="shared" si="26"/>
        <v/>
      </c>
      <c r="DL32" s="719" t="str">
        <f t="shared" si="40"/>
        <v/>
      </c>
      <c r="DM32" s="719"/>
      <c r="DN32" s="719"/>
      <c r="DO32" s="719"/>
      <c r="DP32" s="720">
        <f t="shared" si="41"/>
        <v>11</v>
      </c>
      <c r="DQ32" s="591">
        <f ca="1">VLOOKUP(DG32,[10]résultats!$A$2:$DE$70,109,FALSE)</f>
        <v>57</v>
      </c>
      <c r="DR32" s="591">
        <f ca="1">VLOOKUP(DG32,[10]résultats!$A$2:$DG$70,111,FALSE)</f>
        <v>74</v>
      </c>
      <c r="DT32" s="591">
        <f t="shared" si="42"/>
        <v>9</v>
      </c>
      <c r="DU32" s="591">
        <f t="shared" si="43"/>
        <v>9</v>
      </c>
    </row>
    <row r="33" spans="1:125" s="591" customFormat="1" ht="23.1" customHeight="1">
      <c r="A33" s="308">
        <f t="shared" si="9"/>
        <v>21</v>
      </c>
      <c r="B33" s="297" t="str">
        <f>IF(E33=0,"",VLOOKUP(E33,[10]liste!AM:AN,2,FALSE))</f>
        <v>Lecossier Michel</v>
      </c>
      <c r="C33" s="298">
        <f>IF(E33=0,"",VLOOKUP(B33,[10]liste!AN:AP,3,FALSE))</f>
        <v>9</v>
      </c>
      <c r="D33" s="691">
        <f t="shared" si="10"/>
        <v>9</v>
      </c>
      <c r="E33" s="692">
        <f>LARGE([10]liste!AM:AM,18)</f>
        <v>929.077</v>
      </c>
      <c r="F33" s="693">
        <v>925</v>
      </c>
      <c r="G33" s="693">
        <v>914</v>
      </c>
      <c r="H33" s="693">
        <v>903</v>
      </c>
      <c r="I33" s="692">
        <v>894</v>
      </c>
      <c r="J33" s="693">
        <v>903</v>
      </c>
      <c r="K33" s="693">
        <v>934</v>
      </c>
      <c r="L33" s="693">
        <v>942</v>
      </c>
      <c r="M33" s="692">
        <v>927</v>
      </c>
      <c r="N33" s="692">
        <v>927</v>
      </c>
      <c r="O33" s="694"/>
      <c r="P33" s="695">
        <f t="shared" ca="1" si="11"/>
        <v>0</v>
      </c>
      <c r="Q33" s="170">
        <f t="shared" si="12"/>
        <v>-2.0769999999999982</v>
      </c>
      <c r="R33" s="696">
        <f ca="1">IF(U33&lt;MAX(U$16:U$81)/6.2,"NS",IF(B33="",0,VLOOKUP(B33,[10]résultats!AX:DH,63,FALSE)))</f>
        <v>0.51855638167716589</v>
      </c>
      <c r="S33" s="697" t="str">
        <f t="shared" si="13"/>
        <v>Lecossier Michel</v>
      </c>
      <c r="T33" s="171">
        <f t="shared" ca="1" si="14"/>
        <v>14</v>
      </c>
      <c r="U33" s="172">
        <f t="shared" ca="1" si="14"/>
        <v>27</v>
      </c>
      <c r="V33" s="292">
        <f ca="1">IF(B33="",0,HLOOKUP(B33&amp;"a",[11]Feuil1!$A$27:$FX$48,20,FALSE)+RAND()*0.0001)</f>
        <v>4.0000931794624313</v>
      </c>
      <c r="W33" s="293">
        <f ca="1">IF(B33="",0,HLOOKUP(B33&amp;"a",[11]Feuil1!$A$27:$FX$48,21,FALSE))+RAND()*0.0001</f>
        <v>1.0000113550817953</v>
      </c>
      <c r="X33" s="725">
        <f t="shared" si="27"/>
        <v>875</v>
      </c>
      <c r="Y33" s="701">
        <f t="shared" si="15"/>
        <v>942</v>
      </c>
      <c r="Z33" s="1161"/>
      <c r="AA33" s="1161"/>
      <c r="AB33" s="1161"/>
      <c r="AC33" s="734"/>
      <c r="AD33" s="739" t="str">
        <f>IF(CP9="","",CP9&amp;"  "&amp;'points et TOP'!CP10&amp;" pts en Décembre")</f>
        <v>Franck H.  33 pts en Décembre</v>
      </c>
      <c r="AE33" s="581"/>
      <c r="AF33" s="581"/>
      <c r="AG33" s="554"/>
      <c r="AH33" s="306" t="str">
        <f ca="1">IF(AJ33&lt;=2,"",VLOOKUP(AJ33,[10]résultats!DJ:DK,2,FALSE))</f>
        <v>Hilton Franck</v>
      </c>
      <c r="AI33" s="305" t="str">
        <f ca="1">LARGE([10]résultats!DG:DG,4)&amp;" matchs"</f>
        <v>74 matchs</v>
      </c>
      <c r="AJ33" s="740">
        <f ca="1">LARGE([10]résultats!DJ:DJ,4)</f>
        <v>74.473043633576566</v>
      </c>
      <c r="AK33" s="677">
        <f t="shared" si="28"/>
        <v>24</v>
      </c>
      <c r="AL33" s="705" t="str">
        <f t="shared" si="16"/>
        <v>Lecossier Michel</v>
      </c>
      <c r="AM33" s="706">
        <f>IF(OR(HLOOKUP($AL33&amp;"a",[11]Feuil1!$A$27:$EP$48,3,FALSE)=FALSE,HLOOKUP($AL33&amp;"a",[11]Feuil1!$A$27:$EP$48,3,FALSE)=""),0,HLOOKUP($AL33&amp;"a",[11]Feuil1!$A$27:$EP$48,3,FALSE))</f>
        <v>1</v>
      </c>
      <c r="AN33" s="706">
        <f>IF(HLOOKUP($AL33&amp;"aa",[11]Feuil1!$A$27:$EP$48,3,FALSE)=FALSE,0,HLOOKUP($AL33&amp;"aa",[11]Feuil1!$A$27:$EP$48,3,FALSE))</f>
        <v>0</v>
      </c>
      <c r="AO33" s="706">
        <f>IF(OR(HLOOKUP($AL33&amp;"a",[11]Feuil1!$A$27:$EP$48,4,FALSE)=FALSE,HLOOKUP($AL33&amp;"a",[11]Feuil1!$A$27:$EP$48,4,FALSE)=""),0,HLOOKUP($AL33&amp;"a",[11]Feuil1!$A$27:$EP$48,4,FALSE))</f>
        <v>4</v>
      </c>
      <c r="AP33" s="706">
        <f>IF(HLOOKUP($AL33&amp;"aa",[11]Feuil1!$A$27:$EP$48,4,FALSE)=FALSE,0,HLOOKUP($AL33&amp;"aa",[11]Feuil1!$A$27:$EP$48,4,FALSE))</f>
        <v>0</v>
      </c>
      <c r="AQ33" s="706">
        <f>IF(OR(HLOOKUP($AL33&amp;"a",[11]Feuil1!$A$27:$EP$48,5,FALSE)=FALSE,HLOOKUP($AL33&amp;"a",[11]Feuil1!$A$27:$EP$48,5,FALSE)=""),0,HLOOKUP($AL33&amp;"a",[11]Feuil1!$A$27:$EP$48,5,FALSE))</f>
        <v>2</v>
      </c>
      <c r="AR33" s="706">
        <f>IF(HLOOKUP($AL33&amp;"aa",[11]Feuil1!$A$27:$EP$48,5,FALSE)=FALSE,0,HLOOKUP($AL33&amp;"aa",[11]Feuil1!$A$27:$EP$48,5,FALSE))</f>
        <v>0</v>
      </c>
      <c r="AS33" s="706">
        <f>IF(OR(HLOOKUP($AL33&amp;"a",[11]Feuil1!$A$27:$EP$48,6,FALSE)=FALSE,HLOOKUP($AL33&amp;"a",[11]Feuil1!$A$27:$EP$48,6,FALSE)=""),0,HLOOKUP($AL33&amp;"a",[11]Feuil1!$A$27:$EP$48,6,FALSE))</f>
        <v>3</v>
      </c>
      <c r="AT33" s="706">
        <f>IF(HLOOKUP($AL33&amp;"aa",[11]Feuil1!$A$27:$EP$48,6,FALSE)=FALSE,0,HLOOKUP($AL33&amp;"aa",[11]Feuil1!$A$27:$EP$48,6,FALSE))</f>
        <v>1</v>
      </c>
      <c r="AU33" s="706">
        <f>IF(OR(HLOOKUP($AL33&amp;"a",[11]Feuil1!$A$27:$EP$48,7,FALSE)=FALSE,HLOOKUP($AL33&amp;"a",[11]Feuil1!$A$27:$EP$48,7,FALSE)=""),0,HLOOKUP($AL33&amp;"a",[11]Feuil1!$A$27:$EP$48,7,FALSE))</f>
        <v>3</v>
      </c>
      <c r="AV33" s="706">
        <f>IF(HLOOKUP($AL33&amp;"aa",[11]Feuil1!$A$27:$EP$48,7,FALSE)=FALSE,0,HLOOKUP($AL33&amp;"aa",[11]Feuil1!$A$27:$EP$48,7,FALSE))</f>
        <v>6</v>
      </c>
      <c r="AW33" s="706">
        <f>IF(OR(HLOOKUP($AL33&amp;"a",[11]Feuil1!$A$27:$EP$48,8,FALSE)=FALSE,HLOOKUP($AL33&amp;"a",[11]Feuil1!$A$27:$EP$48,8,FALSE)=""),0,HLOOKUP($AL33&amp;"a",[11]Feuil1!$A$27:$EP$48,8,FALSE))</f>
        <v>0</v>
      </c>
      <c r="AX33" s="706">
        <f>IF(HLOOKUP($AL33&amp;"aa",[11]Feuil1!$A$27:$EP$48,8,FALSE)=FALSE,0,HLOOKUP($AL33&amp;"aa",[11]Feuil1!$A$27:$EP$48,8,FALSE))</f>
        <v>2</v>
      </c>
      <c r="AY33" s="706">
        <f>IF(OR(HLOOKUP($AL33&amp;"a",[11]Feuil1!$A$27:$EP$48,9,FALSE)=FALSE,HLOOKUP($AL33&amp;"a",[11]Feuil1!$A$27:$EP$48,9,FALSE)=""),0,HLOOKUP($AL33&amp;"a",[11]Feuil1!$A$27:$EP$48,9,FALSE))</f>
        <v>1</v>
      </c>
      <c r="AZ33" s="706">
        <f>IF(HLOOKUP($AL33&amp;"aa",[11]Feuil1!$A$27:$EP$48,9,FALSE)=FALSE,0,HLOOKUP($AL33&amp;"aa",[11]Feuil1!$A$27:$EP$48,9,FALSE))</f>
        <v>1</v>
      </c>
      <c r="BA33" s="706">
        <f>IF(OR(HLOOKUP($AL33&amp;"a",[11]Feuil1!$A$27:$EP$48,10,FALSE)=FALSE,HLOOKUP($AL33&amp;"a",[11]Feuil1!$A$27:$EP$48,10,FALSE)=""),0,HLOOKUP($AL33&amp;"a",[11]Feuil1!$A$27:$EP$48,10,FALSE))</f>
        <v>0</v>
      </c>
      <c r="BB33" s="706">
        <f>IF(HLOOKUP($AL33&amp;"aa",[11]Feuil1!$A$27:$EP$48,10,FALSE)=FALSE,0,HLOOKUP($AL33&amp;"aa",[11]Feuil1!$A$27:$EP$48,10,FALSE))</f>
        <v>0</v>
      </c>
      <c r="BC33" s="706">
        <f>IF(OR(HLOOKUP($AL33&amp;"a",[11]Feuil1!$A$27:$EP$48,11,FALSE)=FALSE,HLOOKUP($AL33&amp;"a",[11]Feuil1!$A$27:$EP$48,11,FALSE)=""),0,HLOOKUP($AL33&amp;"a",[11]Feuil1!$A$27:$EP$48,11,FALSE))</f>
        <v>0</v>
      </c>
      <c r="BD33" s="706">
        <f>IF(HLOOKUP($AL33&amp;"aa",[11]Feuil1!$A$27:$EP$48,11,FALSE)=FALSE,0,HLOOKUP($AL33&amp;"aa",[11]Feuil1!$A$27:$EP$48,11,FALSE))</f>
        <v>0</v>
      </c>
      <c r="BE33" s="706">
        <f>IF(OR(HLOOKUP($AL33&amp;"a",[11]Feuil1!$A$27:$EP$48,12,FALSE)=FALSE,HLOOKUP($AL33&amp;"a",[11]Feuil1!$A$27:$EP$48,12,FALSE)=""),0,HLOOKUP($AL33&amp;"a",[11]Feuil1!$A$27:$EP$48,12,FALSE))</f>
        <v>0</v>
      </c>
      <c r="BF33" s="706">
        <f>IF(HLOOKUP($AL33&amp;"aa",[11]Feuil1!$A$27:$EP$48,12,FALSE)=FALSE,0,HLOOKUP($AL33&amp;"aa",[11]Feuil1!$A$27:$EP$48,12,FALSE))</f>
        <v>0</v>
      </c>
      <c r="BG33" s="706">
        <f>IF(OR(HLOOKUP($AL33&amp;"a",[11]Feuil1!$A$27:$EP$48,13,FALSE)=FALSE,HLOOKUP($AL33&amp;"a",[11]Feuil1!$A$27:$EP$48,13,FALSE)=""),0,HLOOKUP($AL33&amp;"a",[11]Feuil1!$A$27:$EP$48,13,FALSE))</f>
        <v>0</v>
      </c>
      <c r="BH33" s="706">
        <f>IF(HLOOKUP($AL33&amp;"aa",[11]Feuil1!$A$27:$EP$48,13,FALSE)=FALSE,0,HLOOKUP($AL33&amp;"aa",[11]Feuil1!$A$27:$EP$48,13,FALSE))</f>
        <v>0</v>
      </c>
      <c r="BI33" s="706">
        <f>IF(OR(HLOOKUP($AL33&amp;"a",[11]Feuil1!$A$27:$EP$48,14,FALSE)=FALSE,HLOOKUP($AL33&amp;"a",[11]Feuil1!$A$27:$EP$48,14,FALSE)=""),0,HLOOKUP($AL33&amp;"a",[11]Feuil1!$A$27:$EP$48,14,FALSE))</f>
        <v>0</v>
      </c>
      <c r="BJ33" s="706">
        <f>IF(HLOOKUP($AL33&amp;"aa",[11]Feuil1!$A$27:$EP$48,14,FALSE)=FALSE,0,HLOOKUP($AL33&amp;"aa",[11]Feuil1!$A$27:$EP$48,14,FALSE))</f>
        <v>0</v>
      </c>
      <c r="BK33" s="706">
        <f>IF(OR(HLOOKUP($AL33&amp;"a",[11]Feuil1!$A$27:$EP$48,15,FALSE)=FALSE,HLOOKUP($AL33&amp;"a",[11]Feuil1!$A$27:$EP$48,15,FALSE)=""),0,HLOOKUP($AL33&amp;"a",[11]Feuil1!$A$27:$EP$48,15,FALSE))</f>
        <v>0</v>
      </c>
      <c r="BL33" s="706">
        <f>IF(HLOOKUP($AL33&amp;"aa",[11]Feuil1!$A$27:$EP$48,15,FALSE)=FALSE,0,HLOOKUP($AL33&amp;"aa",[11]Feuil1!$A$27:$EP$48,15,FALSE))</f>
        <v>0</v>
      </c>
      <c r="BM33" s="706">
        <f>IF(OR(HLOOKUP($AL33&amp;"a",[11]Feuil1!$A$27:$EP$48,16,FALSE)=FALSE,HLOOKUP($AL33&amp;"a",[11]Feuil1!$A$27:$EP$48,16,FALSE)=""),0,HLOOKUP($AL33&amp;"a",[11]Feuil1!$A$27:$EP$48,16,FALSE))</f>
        <v>0</v>
      </c>
      <c r="BN33" s="706">
        <f>IF(HLOOKUP($AL33&amp;"aa",[11]Feuil1!$A$27:$EP$48,16,FALSE)=FALSE,0,HLOOKUP($AL33&amp;"aa",[11]Feuil1!$A$27:$EP$48,16,FALSE))</f>
        <v>0</v>
      </c>
      <c r="BO33" s="706">
        <f>IF(OR(HLOOKUP($AL33&amp;"a",[11]Feuil1!$A$27:$EP$48,17,FALSE)=FALSE,HLOOKUP($AL33&amp;"a",[11]Feuil1!$A$27:$EP$48,17,FALSE)=""),0,HLOOKUP($AL33&amp;"a",[11]Feuil1!$A$27:$EP$48,17,FALSE))</f>
        <v>0</v>
      </c>
      <c r="BP33" s="706">
        <f>IF(HLOOKUP($AL33&amp;"aa",[11]Feuil1!$A$27:$EP$48,17,FALSE)=FALSE,0,HLOOKUP($AL33&amp;"aa",[11]Feuil1!$A$27:$EP$48,17,FALSE))</f>
        <v>0</v>
      </c>
      <c r="BQ33" s="706">
        <f>IF(OR(HLOOKUP($AL33&amp;"a",[11]Feuil1!$A$27:$EP$48,18,FALSE)=FALSE,HLOOKUP($AL33&amp;"a",[11]Feuil1!$A$27:$EP$48,18,FALSE)=""),0,HLOOKUP($AL33&amp;"a",[11]Feuil1!$A$27:$EP$48,18,FALSE))</f>
        <v>0</v>
      </c>
      <c r="BR33" s="706">
        <f>IF(HLOOKUP($AL33&amp;"aa",[11]Feuil1!$A$27:$EP$48,18,FALSE)=FALSE,0,HLOOKUP($AL33&amp;"aa",[11]Feuil1!$A$27:$EP$48,18,FALSE))</f>
        <v>0</v>
      </c>
      <c r="BS33" s="707">
        <f t="shared" si="29"/>
        <v>7.5</v>
      </c>
      <c r="BT33" s="707">
        <f t="shared" si="30"/>
        <v>9.3000000000000007</v>
      </c>
      <c r="BU33" s="707">
        <f t="shared" si="31"/>
        <v>8.25</v>
      </c>
      <c r="BV33" s="708">
        <f t="shared" ca="1" si="32"/>
        <v>14</v>
      </c>
      <c r="BW33" s="708">
        <f t="shared" ca="1" si="33"/>
        <v>13</v>
      </c>
      <c r="BX33" t="str">
        <f t="shared" si="34"/>
        <v>LORHO Mathieu</v>
      </c>
      <c r="BY33" s="726">
        <v>18</v>
      </c>
      <c r="BZ33" s="727" t="s">
        <v>570</v>
      </c>
      <c r="CA33" s="728" t="s">
        <v>571</v>
      </c>
      <c r="CB33" s="726">
        <v>6</v>
      </c>
      <c r="CC33" s="729" t="s">
        <v>572</v>
      </c>
      <c r="CD33" s="726" t="s">
        <v>513</v>
      </c>
      <c r="CE33" s="591" t="str">
        <f t="shared" si="35"/>
        <v>985.00</v>
      </c>
      <c r="CF33" s="561"/>
      <c r="CG33" s="561"/>
      <c r="CH33" s="561"/>
      <c r="CI33" s="714"/>
      <c r="CK33" s="715">
        <f t="shared" si="36"/>
        <v>31</v>
      </c>
      <c r="CL33" s="591">
        <f t="shared" si="17"/>
        <v>0</v>
      </c>
      <c r="CM33" s="716">
        <f t="shared" si="45"/>
        <v>-4.0769999999999982</v>
      </c>
      <c r="CN33" s="716">
        <f t="shared" si="45"/>
        <v>-11</v>
      </c>
      <c r="CO33" s="716">
        <f t="shared" si="45"/>
        <v>-11</v>
      </c>
      <c r="CP33" s="716">
        <f t="shared" si="45"/>
        <v>-9</v>
      </c>
      <c r="CQ33" s="716">
        <f t="shared" si="45"/>
        <v>9</v>
      </c>
      <c r="CR33" s="716">
        <f t="shared" si="45"/>
        <v>31</v>
      </c>
      <c r="CS33" s="716">
        <f t="shared" si="45"/>
        <v>8</v>
      </c>
      <c r="CT33" s="716">
        <f t="shared" si="45"/>
        <v>-15</v>
      </c>
      <c r="CU33" s="716">
        <f t="shared" si="45"/>
        <v>0</v>
      </c>
      <c r="CV33" s="717" t="str">
        <f t="shared" si="37"/>
        <v>faux</v>
      </c>
      <c r="CW33" s="718">
        <f>IF(E33=0,"",VLOOKUP(B33,[10]liste!AU:BD,10,FALSE))</f>
        <v>2</v>
      </c>
      <c r="CX33" s="719">
        <f t="shared" si="19"/>
        <v>927</v>
      </c>
      <c r="CY33" s="720">
        <f t="shared" si="38"/>
        <v>9</v>
      </c>
      <c r="CZ33" s="736"/>
      <c r="DA33" s="741" t="e">
        <f>#REF!</f>
        <v>#REF!</v>
      </c>
      <c r="DB33" s="738" t="e">
        <f t="shared" si="44"/>
        <v>#REF!</v>
      </c>
      <c r="DC33" s="722" t="str">
        <f t="shared" ca="1" si="20"/>
        <v/>
      </c>
      <c r="DE33" s="723">
        <f t="shared" si="21"/>
        <v>929.077</v>
      </c>
      <c r="DF33" s="723">
        <f t="shared" si="22"/>
        <v>927</v>
      </c>
      <c r="DG33" s="697" t="str">
        <f t="shared" si="23"/>
        <v>Lecossier Michel</v>
      </c>
      <c r="DH33" s="724">
        <f t="shared" si="24"/>
        <v>-2</v>
      </c>
      <c r="DI33" s="724">
        <f t="shared" si="39"/>
        <v>2</v>
      </c>
      <c r="DJ33" s="719">
        <f t="shared" si="25"/>
        <v>894</v>
      </c>
      <c r="DK33" s="719" t="str">
        <f t="shared" si="26"/>
        <v/>
      </c>
      <c r="DL33" s="719" t="str">
        <f t="shared" si="40"/>
        <v/>
      </c>
      <c r="DM33" s="719"/>
      <c r="DN33" s="719"/>
      <c r="DO33" s="719"/>
      <c r="DP33" s="720">
        <f t="shared" si="41"/>
        <v>8</v>
      </c>
      <c r="DQ33" s="591">
        <f ca="1">VLOOKUP(DG33,[10]résultats!$A$2:$DE$70,109,FALSE)</f>
        <v>14</v>
      </c>
      <c r="DR33" s="591">
        <f ca="1">VLOOKUP(DG33,[10]résultats!$A$2:$DG$70,111,FALSE)</f>
        <v>27</v>
      </c>
      <c r="DT33" s="591">
        <f t="shared" si="42"/>
        <v>21</v>
      </c>
      <c r="DU33" s="591">
        <f t="shared" si="43"/>
        <v>21</v>
      </c>
    </row>
    <row r="34" spans="1:125" s="591" customFormat="1" ht="23.1" customHeight="1">
      <c r="A34" s="308">
        <f t="shared" si="9"/>
        <v>20</v>
      </c>
      <c r="B34" s="297" t="str">
        <f>IF(E34=0,"",VLOOKUP(E34,[10]liste!AM:AN,2,FALSE))</f>
        <v>Vilain Benjamin</v>
      </c>
      <c r="C34" s="298">
        <f>IF(E34=0,"",VLOOKUP(B34,[10]liste!AN:AP,3,FALSE))</f>
        <v>9</v>
      </c>
      <c r="D34" s="691">
        <f t="shared" si="10"/>
        <v>9</v>
      </c>
      <c r="E34" s="692">
        <f>LARGE([10]liste!AM:AM,19)</f>
        <v>904.01700000000005</v>
      </c>
      <c r="F34" s="693">
        <v>915</v>
      </c>
      <c r="G34" s="693">
        <v>900</v>
      </c>
      <c r="H34" s="693">
        <v>936</v>
      </c>
      <c r="I34" s="692">
        <v>933</v>
      </c>
      <c r="J34" s="693">
        <v>942</v>
      </c>
      <c r="K34" s="693">
        <v>940</v>
      </c>
      <c r="L34" s="693">
        <v>939</v>
      </c>
      <c r="M34" s="692">
        <v>935</v>
      </c>
      <c r="N34" s="692">
        <v>935</v>
      </c>
      <c r="O34" s="694"/>
      <c r="P34" s="695">
        <f t="shared" ca="1" si="11"/>
        <v>0</v>
      </c>
      <c r="Q34" s="170">
        <f t="shared" si="12"/>
        <v>30.982999999999947</v>
      </c>
      <c r="R34" s="696">
        <f ca="1">IF(U34&lt;MAX(U$16:U$81)/6.2,"NS",IF(B34="",0,VLOOKUP(B34,[10]résultats!AX:DH,63,FALSE)))</f>
        <v>0.54764811585465212</v>
      </c>
      <c r="S34" s="697" t="str">
        <f t="shared" si="13"/>
        <v>Vilain Benjamin</v>
      </c>
      <c r="T34" s="171">
        <f t="shared" ca="1" si="14"/>
        <v>23</v>
      </c>
      <c r="U34" s="172">
        <f t="shared" ca="1" si="14"/>
        <v>42</v>
      </c>
      <c r="V34" s="292">
        <f ca="1">IF(B34="",0,HLOOKUP(B34&amp;"a",[11]Feuil1!$A$27:$FX$48,20,FALSE)+RAND()*0.0001)</f>
        <v>6.0000580916885928</v>
      </c>
      <c r="W34" s="293">
        <f ca="1">IF(B34="",0,HLOOKUP(B34&amp;"a",[11]Feuil1!$A$27:$FX$48,21,FALSE))+RAND()*0.0001</f>
        <v>3.0000580009654669</v>
      </c>
      <c r="X34" s="725">
        <f t="shared" si="27"/>
        <v>931</v>
      </c>
      <c r="Y34" s="701">
        <f t="shared" si="15"/>
        <v>942</v>
      </c>
      <c r="Z34" s="1161"/>
      <c r="AA34" s="1161"/>
      <c r="AB34" s="1161"/>
      <c r="AC34" s="734"/>
      <c r="AD34" s="739" t="str">
        <f>IF(CQ9="","",CQ9&amp;"  "&amp;CQ10&amp;" pts en Janvier")</f>
        <v>Quentin Z.  46 pts en Janvier</v>
      </c>
      <c r="AE34" s="581"/>
      <c r="AF34" s="581"/>
      <c r="AG34" s="554"/>
      <c r="AH34" s="306" t="str">
        <f ca="1">IF(AJ34&lt;=2,"",VLOOKUP(AJ34,[10]résultats!DJ:DK,2,FALSE))</f>
        <v>Sail Rémy</v>
      </c>
      <c r="AI34" s="305" t="str">
        <f ca="1">LARGE([10]résultats!DG:DG,5)&amp;" matchs"</f>
        <v>73 matchs</v>
      </c>
      <c r="AJ34" s="740">
        <f ca="1">LARGE([10]résultats!DJ:DJ,5)</f>
        <v>73.146876949711526</v>
      </c>
      <c r="AK34" s="677">
        <f t="shared" si="28"/>
        <v>42</v>
      </c>
      <c r="AL34" s="705" t="str">
        <f t="shared" si="16"/>
        <v>Vilain Benjamin</v>
      </c>
      <c r="AM34" s="706">
        <f>IF(OR(HLOOKUP($AL34&amp;"a",[11]Feuil1!$A$27:$EP$48,3,FALSE)=FALSE,HLOOKUP($AL34&amp;"a",[11]Feuil1!$A$27:$EP$48,3,FALSE)=""),0,HLOOKUP($AL34&amp;"a",[11]Feuil1!$A$27:$EP$48,3,FALSE))</f>
        <v>3</v>
      </c>
      <c r="AN34" s="706">
        <f>IF(HLOOKUP($AL34&amp;"aa",[11]Feuil1!$A$27:$EP$48,3,FALSE)=FALSE,0,HLOOKUP($AL34&amp;"aa",[11]Feuil1!$A$27:$EP$48,3,FALSE))</f>
        <v>1</v>
      </c>
      <c r="AO34" s="706">
        <f>IF(OR(HLOOKUP($AL34&amp;"a",[11]Feuil1!$A$27:$EP$48,4,FALSE)=FALSE,HLOOKUP($AL34&amp;"a",[11]Feuil1!$A$27:$EP$48,4,FALSE)=""),0,HLOOKUP($AL34&amp;"a",[11]Feuil1!$A$27:$EP$48,4,FALSE))</f>
        <v>0</v>
      </c>
      <c r="AP34" s="706">
        <f>IF(HLOOKUP($AL34&amp;"aa",[11]Feuil1!$A$27:$EP$48,4,FALSE)=FALSE,0,HLOOKUP($AL34&amp;"aa",[11]Feuil1!$A$27:$EP$48,4,FALSE))</f>
        <v>0</v>
      </c>
      <c r="AQ34" s="706">
        <f>IF(OR(HLOOKUP($AL34&amp;"a",[11]Feuil1!$A$27:$EP$48,5,FALSE)=FALSE,HLOOKUP($AL34&amp;"a",[11]Feuil1!$A$27:$EP$48,5,FALSE)=""),0,HLOOKUP($AL34&amp;"a",[11]Feuil1!$A$27:$EP$48,5,FALSE))</f>
        <v>3</v>
      </c>
      <c r="AR34" s="706">
        <f>IF(HLOOKUP($AL34&amp;"aa",[11]Feuil1!$A$27:$EP$48,5,FALSE)=FALSE,0,HLOOKUP($AL34&amp;"aa",[11]Feuil1!$A$27:$EP$48,5,FALSE))</f>
        <v>1</v>
      </c>
      <c r="AS34" s="706">
        <f>IF(OR(HLOOKUP($AL34&amp;"a",[11]Feuil1!$A$27:$EP$48,6,FALSE)=FALSE,HLOOKUP($AL34&amp;"a",[11]Feuil1!$A$27:$EP$48,6,FALSE)=""),0,HLOOKUP($AL34&amp;"a",[11]Feuil1!$A$27:$EP$48,6,FALSE))</f>
        <v>7</v>
      </c>
      <c r="AT34" s="706">
        <f>IF(HLOOKUP($AL34&amp;"aa",[11]Feuil1!$A$27:$EP$48,6,FALSE)=FALSE,0,HLOOKUP($AL34&amp;"aa",[11]Feuil1!$A$27:$EP$48,6,FALSE))</f>
        <v>1</v>
      </c>
      <c r="AU34" s="706">
        <f>IF(OR(HLOOKUP($AL34&amp;"a",[11]Feuil1!$A$27:$EP$48,7,FALSE)=FALSE,HLOOKUP($AL34&amp;"a",[11]Feuil1!$A$27:$EP$48,7,FALSE)=""),0,HLOOKUP($AL34&amp;"a",[11]Feuil1!$A$27:$EP$48,7,FALSE))</f>
        <v>6</v>
      </c>
      <c r="AV34" s="706">
        <f>IF(HLOOKUP($AL34&amp;"aa",[11]Feuil1!$A$27:$EP$48,7,FALSE)=FALSE,0,HLOOKUP($AL34&amp;"aa",[11]Feuil1!$A$27:$EP$48,7,FALSE))</f>
        <v>2</v>
      </c>
      <c r="AW34" s="706">
        <f>IF(OR(HLOOKUP($AL34&amp;"a",[11]Feuil1!$A$27:$EP$48,8,FALSE)=FALSE,HLOOKUP($AL34&amp;"a",[11]Feuil1!$A$27:$EP$48,8,FALSE)=""),0,HLOOKUP($AL34&amp;"a",[11]Feuil1!$A$27:$EP$48,8,FALSE))</f>
        <v>4</v>
      </c>
      <c r="AX34" s="706">
        <f>IF(HLOOKUP($AL34&amp;"aa",[11]Feuil1!$A$27:$EP$48,8,FALSE)=FALSE,0,HLOOKUP($AL34&amp;"aa",[11]Feuil1!$A$27:$EP$48,8,FALSE))</f>
        <v>10</v>
      </c>
      <c r="AY34" s="706">
        <f>IF(OR(HLOOKUP($AL34&amp;"a",[11]Feuil1!$A$27:$EP$48,9,FALSE)=FALSE,HLOOKUP($AL34&amp;"a",[11]Feuil1!$A$27:$EP$48,9,FALSE)=""),0,HLOOKUP($AL34&amp;"a",[11]Feuil1!$A$27:$EP$48,9,FALSE))</f>
        <v>0</v>
      </c>
      <c r="AZ34" s="706">
        <f>IF(HLOOKUP($AL34&amp;"aa",[11]Feuil1!$A$27:$EP$48,9,FALSE)=FALSE,0,HLOOKUP($AL34&amp;"aa",[11]Feuil1!$A$27:$EP$48,9,FALSE))</f>
        <v>2</v>
      </c>
      <c r="BA34" s="706">
        <f>IF(OR(HLOOKUP($AL34&amp;"a",[11]Feuil1!$A$27:$EP$48,10,FALSE)=FALSE,HLOOKUP($AL34&amp;"a",[11]Feuil1!$A$27:$EP$48,10,FALSE)=""),0,HLOOKUP($AL34&amp;"a",[11]Feuil1!$A$27:$EP$48,10,FALSE))</f>
        <v>0</v>
      </c>
      <c r="BB34" s="706">
        <f>IF(HLOOKUP($AL34&amp;"aa",[11]Feuil1!$A$27:$EP$48,10,FALSE)=FALSE,0,HLOOKUP($AL34&amp;"aa",[11]Feuil1!$A$27:$EP$48,10,FALSE))</f>
        <v>2</v>
      </c>
      <c r="BC34" s="706">
        <f>IF(OR(HLOOKUP($AL34&amp;"a",[11]Feuil1!$A$27:$EP$48,11,FALSE)=FALSE,HLOOKUP($AL34&amp;"a",[11]Feuil1!$A$27:$EP$48,11,FALSE)=""),0,HLOOKUP($AL34&amp;"a",[11]Feuil1!$A$27:$EP$48,11,FALSE))</f>
        <v>0</v>
      </c>
      <c r="BD34" s="706">
        <f>IF(HLOOKUP($AL34&amp;"aa",[11]Feuil1!$A$27:$EP$48,11,FALSE)=FALSE,0,HLOOKUP($AL34&amp;"aa",[11]Feuil1!$A$27:$EP$48,11,FALSE))</f>
        <v>0</v>
      </c>
      <c r="BE34" s="706">
        <f>IF(OR(HLOOKUP($AL34&amp;"a",[11]Feuil1!$A$27:$EP$48,12,FALSE)=FALSE,HLOOKUP($AL34&amp;"a",[11]Feuil1!$A$27:$EP$48,12,FALSE)=""),0,HLOOKUP($AL34&amp;"a",[11]Feuil1!$A$27:$EP$48,12,FALSE))</f>
        <v>0</v>
      </c>
      <c r="BF34" s="706">
        <f>IF(HLOOKUP($AL34&amp;"aa",[11]Feuil1!$A$27:$EP$48,12,FALSE)=FALSE,0,HLOOKUP($AL34&amp;"aa",[11]Feuil1!$A$27:$EP$48,12,FALSE))</f>
        <v>0</v>
      </c>
      <c r="BG34" s="706">
        <f>IF(OR(HLOOKUP($AL34&amp;"a",[11]Feuil1!$A$27:$EP$48,13,FALSE)=FALSE,HLOOKUP($AL34&amp;"a",[11]Feuil1!$A$27:$EP$48,13,FALSE)=""),0,HLOOKUP($AL34&amp;"a",[11]Feuil1!$A$27:$EP$48,13,FALSE))</f>
        <v>0</v>
      </c>
      <c r="BH34" s="706">
        <f>IF(HLOOKUP($AL34&amp;"aa",[11]Feuil1!$A$27:$EP$48,13,FALSE)=FALSE,0,HLOOKUP($AL34&amp;"aa",[11]Feuil1!$A$27:$EP$48,13,FALSE))</f>
        <v>0</v>
      </c>
      <c r="BI34" s="706">
        <f>IF(OR(HLOOKUP($AL34&amp;"a",[11]Feuil1!$A$27:$EP$48,14,FALSE)=FALSE,HLOOKUP($AL34&amp;"a",[11]Feuil1!$A$27:$EP$48,14,FALSE)=""),0,HLOOKUP($AL34&amp;"a",[11]Feuil1!$A$27:$EP$48,14,FALSE))</f>
        <v>0</v>
      </c>
      <c r="BJ34" s="706">
        <f>IF(HLOOKUP($AL34&amp;"aa",[11]Feuil1!$A$27:$EP$48,14,FALSE)=FALSE,0,HLOOKUP($AL34&amp;"aa",[11]Feuil1!$A$27:$EP$48,14,FALSE))</f>
        <v>0</v>
      </c>
      <c r="BK34" s="706">
        <f>IF(OR(HLOOKUP($AL34&amp;"a",[11]Feuil1!$A$27:$EP$48,15,FALSE)=FALSE,HLOOKUP($AL34&amp;"a",[11]Feuil1!$A$27:$EP$48,15,FALSE)=""),0,HLOOKUP($AL34&amp;"a",[11]Feuil1!$A$27:$EP$48,15,FALSE))</f>
        <v>0</v>
      </c>
      <c r="BL34" s="706">
        <f>IF(HLOOKUP($AL34&amp;"aa",[11]Feuil1!$A$27:$EP$48,15,FALSE)=FALSE,0,HLOOKUP($AL34&amp;"aa",[11]Feuil1!$A$27:$EP$48,15,FALSE))</f>
        <v>0</v>
      </c>
      <c r="BM34" s="706">
        <f>IF(OR(HLOOKUP($AL34&amp;"a",[11]Feuil1!$A$27:$EP$48,16,FALSE)=FALSE,HLOOKUP($AL34&amp;"a",[11]Feuil1!$A$27:$EP$48,16,FALSE)=""),0,HLOOKUP($AL34&amp;"a",[11]Feuil1!$A$27:$EP$48,16,FALSE))</f>
        <v>0</v>
      </c>
      <c r="BN34" s="706">
        <f>IF(HLOOKUP($AL34&amp;"aa",[11]Feuil1!$A$27:$EP$48,16,FALSE)=FALSE,0,HLOOKUP($AL34&amp;"aa",[11]Feuil1!$A$27:$EP$48,16,FALSE))</f>
        <v>0</v>
      </c>
      <c r="BO34" s="706">
        <f>IF(OR(HLOOKUP($AL34&amp;"a",[11]Feuil1!$A$27:$EP$48,17,FALSE)=FALSE,HLOOKUP($AL34&amp;"a",[11]Feuil1!$A$27:$EP$48,17,FALSE)=""),0,HLOOKUP($AL34&amp;"a",[11]Feuil1!$A$27:$EP$48,17,FALSE))</f>
        <v>0</v>
      </c>
      <c r="BP34" s="706">
        <f>IF(HLOOKUP($AL34&amp;"aa",[11]Feuil1!$A$27:$EP$48,17,FALSE)=FALSE,0,HLOOKUP($AL34&amp;"aa",[11]Feuil1!$A$27:$EP$48,17,FALSE))</f>
        <v>0</v>
      </c>
      <c r="BQ34" s="706">
        <f>IF(OR(HLOOKUP($AL34&amp;"a",[11]Feuil1!$A$27:$EP$48,18,FALSE)=FALSE,HLOOKUP($AL34&amp;"a",[11]Feuil1!$A$27:$EP$48,18,FALSE)=""),0,HLOOKUP($AL34&amp;"a",[11]Feuil1!$A$27:$EP$48,18,FALSE))</f>
        <v>0</v>
      </c>
      <c r="BR34" s="706">
        <f>IF(HLOOKUP($AL34&amp;"aa",[11]Feuil1!$A$27:$EP$48,18,FALSE)=FALSE,0,HLOOKUP($AL34&amp;"aa",[11]Feuil1!$A$27:$EP$48,18,FALSE))</f>
        <v>0</v>
      </c>
      <c r="BS34" s="707">
        <f t="shared" si="29"/>
        <v>8.0869565217391308</v>
      </c>
      <c r="BT34" s="707">
        <f t="shared" si="30"/>
        <v>9.6842105263157894</v>
      </c>
      <c r="BU34" s="707">
        <f t="shared" si="31"/>
        <v>8.8095238095238102</v>
      </c>
      <c r="BV34" s="708">
        <f t="shared" ca="1" si="32"/>
        <v>23</v>
      </c>
      <c r="BW34" s="708">
        <f t="shared" ca="1" si="33"/>
        <v>19</v>
      </c>
      <c r="BX34" t="str">
        <f t="shared" si="34"/>
        <v>MORIN Emmanuel</v>
      </c>
      <c r="BY34" s="709">
        <v>19</v>
      </c>
      <c r="BZ34" s="710" t="s">
        <v>573</v>
      </c>
      <c r="CA34" s="711" t="s">
        <v>574</v>
      </c>
      <c r="CB34" s="709">
        <v>7</v>
      </c>
      <c r="CC34" s="712" t="s">
        <v>575</v>
      </c>
      <c r="CD34" s="709" t="s">
        <v>525</v>
      </c>
      <c r="CE34" s="591" t="str">
        <f t="shared" si="35"/>
        <v>913.00</v>
      </c>
      <c r="CF34" s="561"/>
      <c r="CG34" s="561"/>
      <c r="CH34" s="561"/>
      <c r="CI34" s="714"/>
      <c r="CK34" s="715">
        <f t="shared" si="36"/>
        <v>36</v>
      </c>
      <c r="CL34" s="591">
        <f t="shared" si="17"/>
        <v>0</v>
      </c>
      <c r="CM34" s="716">
        <f t="shared" si="45"/>
        <v>10.982999999999947</v>
      </c>
      <c r="CN34" s="716">
        <f t="shared" si="45"/>
        <v>-15</v>
      </c>
      <c r="CO34" s="716">
        <f t="shared" si="45"/>
        <v>36</v>
      </c>
      <c r="CP34" s="716">
        <f t="shared" si="45"/>
        <v>-3</v>
      </c>
      <c r="CQ34" s="716">
        <f t="shared" si="45"/>
        <v>9</v>
      </c>
      <c r="CR34" s="716">
        <f t="shared" si="45"/>
        <v>-2</v>
      </c>
      <c r="CS34" s="716">
        <f t="shared" si="45"/>
        <v>-1</v>
      </c>
      <c r="CT34" s="716">
        <f t="shared" si="45"/>
        <v>-4</v>
      </c>
      <c r="CU34" s="716">
        <f t="shared" si="45"/>
        <v>0</v>
      </c>
      <c r="CV34" s="717" t="str">
        <f t="shared" si="37"/>
        <v>faux</v>
      </c>
      <c r="CW34" s="718">
        <f>IF(E34=0,"",VLOOKUP(B34,[10]liste!AU:BD,10,FALSE))</f>
        <v>2</v>
      </c>
      <c r="CX34" s="719">
        <f t="shared" si="19"/>
        <v>935</v>
      </c>
      <c r="CY34" s="720">
        <f t="shared" si="38"/>
        <v>9</v>
      </c>
      <c r="CZ34" s="736"/>
      <c r="DA34" s="741" t="e">
        <f>#REF!</f>
        <v>#REF!</v>
      </c>
      <c r="DB34" s="738" t="e">
        <f t="shared" si="44"/>
        <v>#REF!</v>
      </c>
      <c r="DC34" s="722" t="str">
        <f t="shared" ca="1" si="20"/>
        <v/>
      </c>
      <c r="DE34" s="723">
        <f t="shared" si="21"/>
        <v>904.01700000000005</v>
      </c>
      <c r="DF34" s="723">
        <f t="shared" si="22"/>
        <v>935</v>
      </c>
      <c r="DG34" s="697" t="str">
        <f t="shared" si="23"/>
        <v>Vilain Benjamin</v>
      </c>
      <c r="DH34" s="724">
        <f t="shared" si="24"/>
        <v>1</v>
      </c>
      <c r="DI34" s="724">
        <f t="shared" si="39"/>
        <v>2</v>
      </c>
      <c r="DJ34" s="719">
        <f t="shared" si="25"/>
        <v>933</v>
      </c>
      <c r="DK34" s="719" t="str">
        <f t="shared" si="26"/>
        <v/>
      </c>
      <c r="DL34" s="719" t="str">
        <f t="shared" si="40"/>
        <v/>
      </c>
      <c r="DM34" s="719"/>
      <c r="DN34" s="719"/>
      <c r="DO34" s="719"/>
      <c r="DP34" s="720">
        <f t="shared" si="41"/>
        <v>9</v>
      </c>
      <c r="DQ34" s="591">
        <f ca="1">VLOOKUP(DG34,[10]résultats!$A$2:$DE$70,109,FALSE)</f>
        <v>23</v>
      </c>
      <c r="DR34" s="591">
        <f ca="1">VLOOKUP(DG34,[10]résultats!$A$2:$DG$70,111,FALSE)</f>
        <v>42</v>
      </c>
      <c r="DT34" s="591">
        <f t="shared" si="42"/>
        <v>18</v>
      </c>
      <c r="DU34" s="591">
        <f t="shared" si="43"/>
        <v>20</v>
      </c>
    </row>
    <row r="35" spans="1:125" s="591" customFormat="1" ht="23.1" customHeight="1">
      <c r="A35" s="308">
        <f t="shared" si="9"/>
        <v>14</v>
      </c>
      <c r="B35" s="297" t="str">
        <f>IF(E35=0,"",VLOOKUP(E35,[10]liste!AM:AN,2,FALSE))</f>
        <v>Morin Quentin</v>
      </c>
      <c r="C35" s="298">
        <f>IF(E35=0,"",VLOOKUP(B35,[10]liste!AN:AP,3,FALSE))</f>
        <v>8</v>
      </c>
      <c r="D35" s="691">
        <f t="shared" si="10"/>
        <v>10</v>
      </c>
      <c r="E35" s="692">
        <f>LARGE([10]liste!AM:AM,20)</f>
        <v>872.02200000000005</v>
      </c>
      <c r="F35" s="693">
        <v>893</v>
      </c>
      <c r="G35" s="693">
        <v>886</v>
      </c>
      <c r="H35" s="693">
        <v>901</v>
      </c>
      <c r="I35" s="692">
        <v>909</v>
      </c>
      <c r="J35" s="693">
        <v>907</v>
      </c>
      <c r="K35" s="693">
        <v>910</v>
      </c>
      <c r="L35" s="693">
        <v>975</v>
      </c>
      <c r="M35" s="692">
        <v>985</v>
      </c>
      <c r="N35" s="692">
        <v>1014</v>
      </c>
      <c r="O35" s="694"/>
      <c r="P35" s="695">
        <f t="shared" ca="1" si="11"/>
        <v>29</v>
      </c>
      <c r="Q35" s="170">
        <f t="shared" si="12"/>
        <v>141.97799999999995</v>
      </c>
      <c r="R35" s="696">
        <f ca="1">IF(U35&lt;MAX(U$16:U$81)/6.2,"NS",IF(B35="",0,VLOOKUP(B35,[10]résultats!AX:DH,63,FALSE)))</f>
        <v>0.58512062637399143</v>
      </c>
      <c r="S35" s="697" t="str">
        <f t="shared" si="13"/>
        <v>Morin Quentin</v>
      </c>
      <c r="T35" s="171">
        <f t="shared" ca="1" si="14"/>
        <v>55</v>
      </c>
      <c r="U35" s="172">
        <f t="shared" ca="1" si="14"/>
        <v>94</v>
      </c>
      <c r="V35" s="292">
        <f ca="1">IF(B35="",0,HLOOKUP(B35&amp;"a",[11]Feuil1!$A$27:$FX$48,20,FALSE)+RAND()*0.0001)</f>
        <v>15.00006877502935</v>
      </c>
      <c r="W35" s="293">
        <f ca="1">IF(B35="",0,HLOOKUP(B35&amp;"a",[11]Feuil1!$A$27:$FX$48,21,FALSE))+RAND()*0.0001</f>
        <v>4.0000833597867684</v>
      </c>
      <c r="X35" s="725">
        <f t="shared" si="27"/>
        <v>913</v>
      </c>
      <c r="Y35" s="701">
        <f t="shared" si="15"/>
        <v>1014</v>
      </c>
      <c r="Z35" s="1161"/>
      <c r="AA35" s="1161"/>
      <c r="AB35" s="1161"/>
      <c r="AC35" s="734"/>
      <c r="AD35" s="739" t="str">
        <f>IF(CR9="","",CR9&amp;"  "&amp;CR10&amp;" pts en Février")</f>
        <v>Quentin Z.  36 pts en Février</v>
      </c>
      <c r="AE35" s="581"/>
      <c r="AF35" s="581"/>
      <c r="AG35" s="554"/>
      <c r="AH35" s="306" t="str">
        <f ca="1">IF(AJ35&lt;=2,"",VLOOKUP(AJ35,[10]résultats!DJ:DK,2,FALSE))</f>
        <v>Brient Jean-François</v>
      </c>
      <c r="AI35" s="305" t="str">
        <f ca="1">LARGE([10]résultats!DG:DG,6)&amp;" matchs"</f>
        <v>68 matchs</v>
      </c>
      <c r="AJ35" s="740">
        <f ca="1">LARGE([10]résultats!DJ:DJ,6)</f>
        <v>68.395345783089383</v>
      </c>
      <c r="AK35" s="677">
        <f t="shared" si="28"/>
        <v>94</v>
      </c>
      <c r="AL35" s="705" t="str">
        <f t="shared" si="16"/>
        <v>Morin Quentin</v>
      </c>
      <c r="AM35" s="706">
        <f>IF(OR(HLOOKUP($AL35&amp;"a",[11]Feuil1!$A$27:$EP$48,3,FALSE)=FALSE,HLOOKUP($AL35&amp;"a",[11]Feuil1!$A$27:$EP$48,3,FALSE)=""),0,HLOOKUP($AL35&amp;"a",[11]Feuil1!$A$27:$EP$48,3,FALSE))</f>
        <v>14</v>
      </c>
      <c r="AN35" s="706">
        <f>IF(HLOOKUP($AL35&amp;"aa",[11]Feuil1!$A$27:$EP$48,3,FALSE)=FALSE,0,HLOOKUP($AL35&amp;"aa",[11]Feuil1!$A$27:$EP$48,3,FALSE))</f>
        <v>0</v>
      </c>
      <c r="AO35" s="706">
        <f>IF(OR(HLOOKUP($AL35&amp;"a",[11]Feuil1!$A$27:$EP$48,4,FALSE)=FALSE,HLOOKUP($AL35&amp;"a",[11]Feuil1!$A$27:$EP$48,4,FALSE)=""),0,HLOOKUP($AL35&amp;"a",[11]Feuil1!$A$27:$EP$48,4,FALSE))</f>
        <v>7</v>
      </c>
      <c r="AP35" s="706">
        <f>IF(HLOOKUP($AL35&amp;"aa",[11]Feuil1!$A$27:$EP$48,4,FALSE)=FALSE,0,HLOOKUP($AL35&amp;"aa",[11]Feuil1!$A$27:$EP$48,4,FALSE))</f>
        <v>0</v>
      </c>
      <c r="AQ35" s="706">
        <f>IF(OR(HLOOKUP($AL35&amp;"a",[11]Feuil1!$A$27:$EP$48,5,FALSE)=FALSE,HLOOKUP($AL35&amp;"a",[11]Feuil1!$A$27:$EP$48,5,FALSE)=""),0,HLOOKUP($AL35&amp;"a",[11]Feuil1!$A$27:$EP$48,5,FALSE))</f>
        <v>10</v>
      </c>
      <c r="AR35" s="706">
        <f>IF(HLOOKUP($AL35&amp;"aa",[11]Feuil1!$A$27:$EP$48,5,FALSE)=FALSE,0,HLOOKUP($AL35&amp;"aa",[11]Feuil1!$A$27:$EP$48,5,FALSE))</f>
        <v>2</v>
      </c>
      <c r="AS35" s="706">
        <f>IF(OR(HLOOKUP($AL35&amp;"a",[11]Feuil1!$A$27:$EP$48,6,FALSE)=FALSE,HLOOKUP($AL35&amp;"a",[11]Feuil1!$A$27:$EP$48,6,FALSE)=""),0,HLOOKUP($AL35&amp;"a",[11]Feuil1!$A$27:$EP$48,6,FALSE))</f>
        <v>8</v>
      </c>
      <c r="AT35" s="706">
        <f>IF(HLOOKUP($AL35&amp;"aa",[11]Feuil1!$A$27:$EP$48,6,FALSE)=FALSE,0,HLOOKUP($AL35&amp;"aa",[11]Feuil1!$A$27:$EP$48,6,FALSE))</f>
        <v>2</v>
      </c>
      <c r="AU35" s="706">
        <f>IF(OR(HLOOKUP($AL35&amp;"a",[11]Feuil1!$A$27:$EP$48,7,FALSE)=FALSE,HLOOKUP($AL35&amp;"a",[11]Feuil1!$A$27:$EP$48,7,FALSE)=""),0,HLOOKUP($AL35&amp;"a",[11]Feuil1!$A$27:$EP$48,7,FALSE))</f>
        <v>7</v>
      </c>
      <c r="AV35" s="706">
        <f>IF(HLOOKUP($AL35&amp;"aa",[11]Feuil1!$A$27:$EP$48,7,FALSE)=FALSE,0,HLOOKUP($AL35&amp;"aa",[11]Feuil1!$A$27:$EP$48,7,FALSE))</f>
        <v>9</v>
      </c>
      <c r="AW35" s="706">
        <f>IF(OR(HLOOKUP($AL35&amp;"a",[11]Feuil1!$A$27:$EP$48,8,FALSE)=FALSE,HLOOKUP($AL35&amp;"a",[11]Feuil1!$A$27:$EP$48,8,FALSE)=""),0,HLOOKUP($AL35&amp;"a",[11]Feuil1!$A$27:$EP$48,8,FALSE))</f>
        <v>6</v>
      </c>
      <c r="AX35" s="706">
        <f>IF(HLOOKUP($AL35&amp;"aa",[11]Feuil1!$A$27:$EP$48,8,FALSE)=FALSE,0,HLOOKUP($AL35&amp;"aa",[11]Feuil1!$A$27:$EP$48,8,FALSE))</f>
        <v>11</v>
      </c>
      <c r="AY35" s="706">
        <f>IF(OR(HLOOKUP($AL35&amp;"a",[11]Feuil1!$A$27:$EP$48,9,FALSE)=FALSE,HLOOKUP($AL35&amp;"a",[11]Feuil1!$A$27:$EP$48,9,FALSE)=""),0,HLOOKUP($AL35&amp;"a",[11]Feuil1!$A$27:$EP$48,9,FALSE))</f>
        <v>2</v>
      </c>
      <c r="AZ35" s="706">
        <f>IF(HLOOKUP($AL35&amp;"aa",[11]Feuil1!$A$27:$EP$48,9,FALSE)=FALSE,0,HLOOKUP($AL35&amp;"aa",[11]Feuil1!$A$27:$EP$48,9,FALSE))</f>
        <v>7</v>
      </c>
      <c r="BA35" s="706">
        <f>IF(OR(HLOOKUP($AL35&amp;"a",[11]Feuil1!$A$27:$EP$48,10,FALSE)=FALSE,HLOOKUP($AL35&amp;"a",[11]Feuil1!$A$27:$EP$48,10,FALSE)=""),0,HLOOKUP($AL35&amp;"a",[11]Feuil1!$A$27:$EP$48,10,FALSE))</f>
        <v>0</v>
      </c>
      <c r="BB35" s="706">
        <f>IF(HLOOKUP($AL35&amp;"aa",[11]Feuil1!$A$27:$EP$48,10,FALSE)=FALSE,0,HLOOKUP($AL35&amp;"aa",[11]Feuil1!$A$27:$EP$48,10,FALSE))</f>
        <v>4</v>
      </c>
      <c r="BC35" s="706">
        <f>IF(OR(HLOOKUP($AL35&amp;"a",[11]Feuil1!$A$27:$EP$48,11,FALSE)=FALSE,HLOOKUP($AL35&amp;"a",[11]Feuil1!$A$27:$EP$48,11,FALSE)=""),0,HLOOKUP($AL35&amp;"a",[11]Feuil1!$A$27:$EP$48,11,FALSE))</f>
        <v>0</v>
      </c>
      <c r="BD35" s="706">
        <f>IF(HLOOKUP($AL35&amp;"aa",[11]Feuil1!$A$27:$EP$48,11,FALSE)=FALSE,0,HLOOKUP($AL35&amp;"aa",[11]Feuil1!$A$27:$EP$48,11,FALSE))</f>
        <v>2</v>
      </c>
      <c r="BE35" s="706">
        <f>IF(OR(HLOOKUP($AL35&amp;"a",[11]Feuil1!$A$27:$EP$48,12,FALSE)=FALSE,HLOOKUP($AL35&amp;"a",[11]Feuil1!$A$27:$EP$48,12,FALSE)=""),0,HLOOKUP($AL35&amp;"a",[11]Feuil1!$A$27:$EP$48,12,FALSE))</f>
        <v>0</v>
      </c>
      <c r="BF35" s="706">
        <f>IF(HLOOKUP($AL35&amp;"aa",[11]Feuil1!$A$27:$EP$48,12,FALSE)=FALSE,0,HLOOKUP($AL35&amp;"aa",[11]Feuil1!$A$27:$EP$48,12,FALSE))</f>
        <v>1</v>
      </c>
      <c r="BG35" s="706">
        <f>IF(OR(HLOOKUP($AL35&amp;"a",[11]Feuil1!$A$27:$EP$48,13,FALSE)=FALSE,HLOOKUP($AL35&amp;"a",[11]Feuil1!$A$27:$EP$48,13,FALSE)=""),0,HLOOKUP($AL35&amp;"a",[11]Feuil1!$A$27:$EP$48,13,FALSE))</f>
        <v>0</v>
      </c>
      <c r="BH35" s="706">
        <f>IF(HLOOKUP($AL35&amp;"aa",[11]Feuil1!$A$27:$EP$48,13,FALSE)=FALSE,0,HLOOKUP($AL35&amp;"aa",[11]Feuil1!$A$27:$EP$48,13,FALSE))</f>
        <v>1</v>
      </c>
      <c r="BI35" s="706">
        <f>IF(OR(HLOOKUP($AL35&amp;"a",[11]Feuil1!$A$27:$EP$48,14,FALSE)=FALSE,HLOOKUP($AL35&amp;"a",[11]Feuil1!$A$27:$EP$48,14,FALSE)=""),0,HLOOKUP($AL35&amp;"a",[11]Feuil1!$A$27:$EP$48,14,FALSE))</f>
        <v>0</v>
      </c>
      <c r="BJ35" s="706">
        <f>IF(HLOOKUP($AL35&amp;"aa",[11]Feuil1!$A$27:$EP$48,14,FALSE)=FALSE,0,HLOOKUP($AL35&amp;"aa",[11]Feuil1!$A$27:$EP$48,14,FALSE))</f>
        <v>0</v>
      </c>
      <c r="BK35" s="706">
        <f>IF(OR(HLOOKUP($AL35&amp;"a",[11]Feuil1!$A$27:$EP$48,15,FALSE)=FALSE,HLOOKUP($AL35&amp;"a",[11]Feuil1!$A$27:$EP$48,15,FALSE)=""),0,HLOOKUP($AL35&amp;"a",[11]Feuil1!$A$27:$EP$48,15,FALSE))</f>
        <v>0</v>
      </c>
      <c r="BL35" s="706">
        <f>IF(HLOOKUP($AL35&amp;"aa",[11]Feuil1!$A$27:$EP$48,15,FALSE)=FALSE,0,HLOOKUP($AL35&amp;"aa",[11]Feuil1!$A$27:$EP$48,15,FALSE))</f>
        <v>0</v>
      </c>
      <c r="BM35" s="706">
        <f>IF(OR(HLOOKUP($AL35&amp;"a",[11]Feuil1!$A$27:$EP$48,16,FALSE)=FALSE,HLOOKUP($AL35&amp;"a",[11]Feuil1!$A$27:$EP$48,16,FALSE)=""),0,HLOOKUP($AL35&amp;"a",[11]Feuil1!$A$27:$EP$48,16,FALSE))</f>
        <v>0</v>
      </c>
      <c r="BN35" s="706">
        <f>IF(HLOOKUP($AL35&amp;"aa",[11]Feuil1!$A$27:$EP$48,16,FALSE)=FALSE,0,HLOOKUP($AL35&amp;"aa",[11]Feuil1!$A$27:$EP$48,16,FALSE))</f>
        <v>0</v>
      </c>
      <c r="BO35" s="706">
        <f>IF(OR(HLOOKUP($AL35&amp;"a",[11]Feuil1!$A$27:$EP$48,17,FALSE)=FALSE,HLOOKUP($AL35&amp;"a",[11]Feuil1!$A$27:$EP$48,17,FALSE)=""),0,HLOOKUP($AL35&amp;"a",[11]Feuil1!$A$27:$EP$48,17,FALSE))</f>
        <v>0</v>
      </c>
      <c r="BP35" s="706">
        <f>IF(HLOOKUP($AL35&amp;"aa",[11]Feuil1!$A$27:$EP$48,17,FALSE)=FALSE,0,HLOOKUP($AL35&amp;"aa",[11]Feuil1!$A$27:$EP$48,17,FALSE))</f>
        <v>1</v>
      </c>
      <c r="BQ35" s="706">
        <f>IF(OR(HLOOKUP($AL35&amp;"a",[11]Feuil1!$A$27:$EP$48,18,FALSE)=FALSE,HLOOKUP($AL35&amp;"a",[11]Feuil1!$A$27:$EP$48,18,FALSE)=""),0,HLOOKUP($AL35&amp;"a",[11]Feuil1!$A$27:$EP$48,18,FALSE))</f>
        <v>0</v>
      </c>
      <c r="BR35" s="706">
        <f>IF(HLOOKUP($AL35&amp;"aa",[11]Feuil1!$A$27:$EP$48,18,FALSE)=FALSE,0,HLOOKUP($AL35&amp;"aa",[11]Feuil1!$A$27:$EP$48,18,FALSE))</f>
        <v>0</v>
      </c>
      <c r="BS35" s="707">
        <f t="shared" si="29"/>
        <v>7.2407407407407405</v>
      </c>
      <c r="BT35" s="707">
        <f t="shared" si="30"/>
        <v>10.5</v>
      </c>
      <c r="BU35" s="707">
        <f t="shared" si="31"/>
        <v>8.6276595744680851</v>
      </c>
      <c r="BV35" s="708">
        <f t="shared" ca="1" si="32"/>
        <v>55</v>
      </c>
      <c r="BW35" s="708">
        <f t="shared" ca="1" si="33"/>
        <v>39</v>
      </c>
      <c r="BX35" t="str">
        <f t="shared" si="34"/>
        <v>MORIN Quentin</v>
      </c>
      <c r="BY35" s="726">
        <v>20</v>
      </c>
      <c r="BZ35" s="727" t="s">
        <v>573</v>
      </c>
      <c r="CA35" s="728" t="s">
        <v>576</v>
      </c>
      <c r="CB35" s="726">
        <v>5</v>
      </c>
      <c r="CC35" s="729" t="s">
        <v>577</v>
      </c>
      <c r="CD35" s="726" t="s">
        <v>532</v>
      </c>
      <c r="CE35" s="591" t="str">
        <f t="shared" si="35"/>
        <v>563.00</v>
      </c>
      <c r="CF35" s="561"/>
      <c r="CG35" s="561"/>
      <c r="CH35" s="561"/>
      <c r="CI35" s="714"/>
      <c r="CK35" s="715">
        <f t="shared" si="36"/>
        <v>65</v>
      </c>
      <c r="CL35" s="591">
        <f t="shared" si="17"/>
        <v>2</v>
      </c>
      <c r="CM35" s="716">
        <f t="shared" si="45"/>
        <v>20.977999999999952</v>
      </c>
      <c r="CN35" s="716">
        <f t="shared" si="45"/>
        <v>-7</v>
      </c>
      <c r="CO35" s="716">
        <f t="shared" si="45"/>
        <v>15</v>
      </c>
      <c r="CP35" s="716">
        <f t="shared" si="45"/>
        <v>8</v>
      </c>
      <c r="CQ35" s="716">
        <f t="shared" si="45"/>
        <v>-2</v>
      </c>
      <c r="CR35" s="716">
        <f t="shared" si="45"/>
        <v>3</v>
      </c>
      <c r="CS35" s="716">
        <f t="shared" si="45"/>
        <v>65</v>
      </c>
      <c r="CT35" s="716">
        <f t="shared" si="45"/>
        <v>10</v>
      </c>
      <c r="CU35" s="716">
        <f t="shared" si="45"/>
        <v>29</v>
      </c>
      <c r="CV35" s="717" t="str">
        <f t="shared" si="37"/>
        <v>faux</v>
      </c>
      <c r="CW35" s="718">
        <f>IF(E35=0,"",VLOOKUP(B35,[10]liste!AU:BD,10,FALSE))</f>
        <v>2</v>
      </c>
      <c r="CX35" s="719">
        <f t="shared" si="19"/>
        <v>1014</v>
      </c>
      <c r="CY35" s="720">
        <f t="shared" si="38"/>
        <v>10</v>
      </c>
      <c r="CZ35" s="719"/>
      <c r="DA35" s="719"/>
      <c r="DB35" s="719"/>
      <c r="DC35" s="722" t="str">
        <f t="shared" ca="1" si="20"/>
        <v>x</v>
      </c>
      <c r="DE35" s="723">
        <f t="shared" si="21"/>
        <v>872.02200000000005</v>
      </c>
      <c r="DF35" s="723">
        <f t="shared" si="22"/>
        <v>1014</v>
      </c>
      <c r="DG35" s="697" t="str">
        <f t="shared" si="23"/>
        <v>Morin Quentin</v>
      </c>
      <c r="DH35" s="724">
        <f t="shared" si="24"/>
        <v>8</v>
      </c>
      <c r="DI35" s="724">
        <f t="shared" si="39"/>
        <v>2</v>
      </c>
      <c r="DJ35" s="719">
        <f t="shared" si="25"/>
        <v>909</v>
      </c>
      <c r="DK35" s="719" t="str">
        <f t="shared" si="26"/>
        <v/>
      </c>
      <c r="DL35" s="719" t="str">
        <f t="shared" si="40"/>
        <v/>
      </c>
      <c r="DM35" s="719"/>
      <c r="DN35" s="719"/>
      <c r="DO35" s="719"/>
      <c r="DP35" s="720">
        <f t="shared" si="41"/>
        <v>9</v>
      </c>
      <c r="DQ35" s="591">
        <f ca="1">VLOOKUP(DG35,[10]résultats!$A$2:$DE$70,109,FALSE)</f>
        <v>55</v>
      </c>
      <c r="DR35" s="591">
        <f ca="1">VLOOKUP(DG35,[10]résultats!$A$2:$DG$70,111,FALSE)</f>
        <v>94</v>
      </c>
      <c r="DT35" s="591">
        <f t="shared" si="42"/>
        <v>20</v>
      </c>
      <c r="DU35" s="591">
        <f t="shared" si="43"/>
        <v>15</v>
      </c>
    </row>
    <row r="36" spans="1:125" s="591" customFormat="1" ht="23.1" customHeight="1">
      <c r="A36" s="308">
        <f t="shared" si="9"/>
        <v>23</v>
      </c>
      <c r="B36" s="297" t="str">
        <f>IF(E36=0,"",VLOOKUP(E36,[10]liste!AM:AN,2,FALSE))</f>
        <v>Rochefort Reginald</v>
      </c>
      <c r="C36" s="298">
        <f>IF(E36=0,"",VLOOKUP(B36,[10]liste!AN:AP,3,FALSE))</f>
        <v>8</v>
      </c>
      <c r="D36" s="691">
        <f t="shared" si="10"/>
        <v>8</v>
      </c>
      <c r="E36" s="692">
        <f>LARGE([10]liste!AM:AM,21)</f>
        <v>850.03099999999995</v>
      </c>
      <c r="F36" s="693">
        <v>848</v>
      </c>
      <c r="G36" s="693">
        <v>842</v>
      </c>
      <c r="H36" s="693">
        <v>837</v>
      </c>
      <c r="I36" s="692">
        <v>823</v>
      </c>
      <c r="J36" s="693">
        <v>823</v>
      </c>
      <c r="K36" s="693">
        <v>858</v>
      </c>
      <c r="L36" s="693">
        <v>855</v>
      </c>
      <c r="M36" s="692">
        <v>880</v>
      </c>
      <c r="N36" s="692">
        <v>880</v>
      </c>
      <c r="O36" s="694"/>
      <c r="P36" s="695">
        <f t="shared" ca="1" si="11"/>
        <v>0</v>
      </c>
      <c r="Q36" s="170">
        <f t="shared" si="12"/>
        <v>29.969000000000051</v>
      </c>
      <c r="R36" s="696">
        <f ca="1">IF(U36&lt;MAX(U$16:U$81)/6.2,"NS",IF(B36="",0,VLOOKUP(B36,[10]résultats!AX:DH,63,FALSE)))</f>
        <v>0.42509244055608142</v>
      </c>
      <c r="S36" s="697" t="str">
        <f t="shared" si="13"/>
        <v>Rochefort Reginald</v>
      </c>
      <c r="T36" s="171">
        <f t="shared" ca="1" si="14"/>
        <v>17</v>
      </c>
      <c r="U36" s="172">
        <f t="shared" ca="1" si="14"/>
        <v>40</v>
      </c>
      <c r="V36" s="292">
        <f ca="1">IF(B36="",0,HLOOKUP(B36&amp;"a",[11]Feuil1!$A$27:$FX$48,20,FALSE)+RAND()*0.0001)</f>
        <v>10.000063624368604</v>
      </c>
      <c r="W36" s="293">
        <f ca="1">IF(B36="",0,HLOOKUP(B36&amp;"a",[11]Feuil1!$A$27:$FX$48,21,FALSE))+RAND()*0.0001</f>
        <v>2.0000535734905851</v>
      </c>
      <c r="X36" s="725">
        <f t="shared" si="27"/>
        <v>948</v>
      </c>
      <c r="Y36" s="701">
        <f t="shared" si="15"/>
        <v>880</v>
      </c>
      <c r="Z36" s="1161"/>
      <c r="AA36" s="1161"/>
      <c r="AB36" s="1161"/>
      <c r="AD36" s="739" t="str">
        <f>IF(CS9="","",CS9&amp;"  "&amp;CS10&amp;" pts en Mars")</f>
        <v>Léa M.  91 pts en Mars</v>
      </c>
      <c r="AE36" s="581"/>
      <c r="AF36" s="581"/>
      <c r="AG36" s="554"/>
      <c r="AH36" s="306" t="str">
        <f ca="1">IF(AJ36&lt;=2,"",VLOOKUP(AJ36,[10]résultats!DJ:DK,2,FALSE))</f>
        <v>Cojean Youen</v>
      </c>
      <c r="AI36" s="305" t="str">
        <f ca="1">LARGE([10]résultats!DG:DG,7)&amp;" matchs"</f>
        <v>63 matchs</v>
      </c>
      <c r="AJ36" s="740">
        <f ca="1">LARGE([10]résultats!DJ:DJ,7)</f>
        <v>63.510920954152887</v>
      </c>
      <c r="AK36" s="677">
        <f t="shared" si="28"/>
        <v>40</v>
      </c>
      <c r="AL36" s="705" t="str">
        <f t="shared" si="16"/>
        <v>Rochefort Reginald</v>
      </c>
      <c r="AM36" s="706">
        <f>IF(OR(HLOOKUP($AL36&amp;"a",[11]Feuil1!$A$27:$EP$48,3,FALSE)=FALSE,HLOOKUP($AL36&amp;"a",[11]Feuil1!$A$27:$EP$48,3,FALSE)=""),0,HLOOKUP($AL36&amp;"a",[11]Feuil1!$A$27:$EP$48,3,FALSE))</f>
        <v>2</v>
      </c>
      <c r="AN36" s="706">
        <f>IF(HLOOKUP($AL36&amp;"aa",[11]Feuil1!$A$27:$EP$48,3,FALSE)=FALSE,0,HLOOKUP($AL36&amp;"aa",[11]Feuil1!$A$27:$EP$48,3,FALSE))</f>
        <v>0</v>
      </c>
      <c r="AO36" s="706">
        <f>IF(OR(HLOOKUP($AL36&amp;"a",[11]Feuil1!$A$27:$EP$48,4,FALSE)=FALSE,HLOOKUP($AL36&amp;"a",[11]Feuil1!$A$27:$EP$48,4,FALSE)=""),0,HLOOKUP($AL36&amp;"a",[11]Feuil1!$A$27:$EP$48,4,FALSE))</f>
        <v>2</v>
      </c>
      <c r="AP36" s="706">
        <f>IF(HLOOKUP($AL36&amp;"aa",[11]Feuil1!$A$27:$EP$48,4,FALSE)=FALSE,0,HLOOKUP($AL36&amp;"aa",[11]Feuil1!$A$27:$EP$48,4,FALSE))</f>
        <v>0</v>
      </c>
      <c r="AQ36" s="706">
        <f>IF(OR(HLOOKUP($AL36&amp;"a",[11]Feuil1!$A$27:$EP$48,5,FALSE)=FALSE,HLOOKUP($AL36&amp;"a",[11]Feuil1!$A$27:$EP$48,5,FALSE)=""),0,HLOOKUP($AL36&amp;"a",[11]Feuil1!$A$27:$EP$48,5,FALSE))</f>
        <v>2</v>
      </c>
      <c r="AR36" s="706">
        <f>IF(HLOOKUP($AL36&amp;"aa",[11]Feuil1!$A$27:$EP$48,5,FALSE)=FALSE,0,HLOOKUP($AL36&amp;"aa",[11]Feuil1!$A$27:$EP$48,5,FALSE))</f>
        <v>2</v>
      </c>
      <c r="AS36" s="706">
        <f>IF(OR(HLOOKUP($AL36&amp;"a",[11]Feuil1!$A$27:$EP$48,6,FALSE)=FALSE,HLOOKUP($AL36&amp;"a",[11]Feuil1!$A$27:$EP$48,6,FALSE)=""),0,HLOOKUP($AL36&amp;"a",[11]Feuil1!$A$27:$EP$48,6,FALSE))</f>
        <v>5</v>
      </c>
      <c r="AT36" s="706">
        <f>IF(HLOOKUP($AL36&amp;"aa",[11]Feuil1!$A$27:$EP$48,6,FALSE)=FALSE,0,HLOOKUP($AL36&amp;"aa",[11]Feuil1!$A$27:$EP$48,6,FALSE))</f>
        <v>2</v>
      </c>
      <c r="AU36" s="706">
        <f>IF(OR(HLOOKUP($AL36&amp;"a",[11]Feuil1!$A$27:$EP$48,7,FALSE)=FALSE,HLOOKUP($AL36&amp;"a",[11]Feuil1!$A$27:$EP$48,7,FALSE)=""),0,HLOOKUP($AL36&amp;"a",[11]Feuil1!$A$27:$EP$48,7,FALSE))</f>
        <v>3</v>
      </c>
      <c r="AV36" s="706">
        <f>IF(HLOOKUP($AL36&amp;"aa",[11]Feuil1!$A$27:$EP$48,7,FALSE)=FALSE,0,HLOOKUP($AL36&amp;"aa",[11]Feuil1!$A$27:$EP$48,7,FALSE))</f>
        <v>5</v>
      </c>
      <c r="AW36" s="706">
        <f>IF(OR(HLOOKUP($AL36&amp;"a",[11]Feuil1!$A$27:$EP$48,8,FALSE)=FALSE,HLOOKUP($AL36&amp;"a",[11]Feuil1!$A$27:$EP$48,8,FALSE)=""),0,HLOOKUP($AL36&amp;"a",[11]Feuil1!$A$27:$EP$48,8,FALSE))</f>
        <v>3</v>
      </c>
      <c r="AX36" s="706">
        <f>IF(HLOOKUP($AL36&amp;"aa",[11]Feuil1!$A$27:$EP$48,8,FALSE)=FALSE,0,HLOOKUP($AL36&amp;"aa",[11]Feuil1!$A$27:$EP$48,8,FALSE))</f>
        <v>7</v>
      </c>
      <c r="AY36" s="706">
        <f>IF(OR(HLOOKUP($AL36&amp;"a",[11]Feuil1!$A$27:$EP$48,9,FALSE)=FALSE,HLOOKUP($AL36&amp;"a",[11]Feuil1!$A$27:$EP$48,9,FALSE)=""),0,HLOOKUP($AL36&amp;"a",[11]Feuil1!$A$27:$EP$48,9,FALSE))</f>
        <v>0</v>
      </c>
      <c r="AZ36" s="706">
        <f>IF(HLOOKUP($AL36&amp;"aa",[11]Feuil1!$A$27:$EP$48,9,FALSE)=FALSE,0,HLOOKUP($AL36&amp;"aa",[11]Feuil1!$A$27:$EP$48,9,FALSE))</f>
        <v>3</v>
      </c>
      <c r="BA36" s="706">
        <f>IF(OR(HLOOKUP($AL36&amp;"a",[11]Feuil1!$A$27:$EP$48,10,FALSE)=FALSE,HLOOKUP($AL36&amp;"a",[11]Feuil1!$A$27:$EP$48,10,FALSE)=""),0,HLOOKUP($AL36&amp;"a",[11]Feuil1!$A$27:$EP$48,10,FALSE))</f>
        <v>0</v>
      </c>
      <c r="BB36" s="706">
        <f>IF(HLOOKUP($AL36&amp;"aa",[11]Feuil1!$A$27:$EP$48,10,FALSE)=FALSE,0,HLOOKUP($AL36&amp;"aa",[11]Feuil1!$A$27:$EP$48,10,FALSE))</f>
        <v>4</v>
      </c>
      <c r="BC36" s="706">
        <f>IF(OR(HLOOKUP($AL36&amp;"a",[11]Feuil1!$A$27:$EP$48,11,FALSE)=FALSE,HLOOKUP($AL36&amp;"a",[11]Feuil1!$A$27:$EP$48,11,FALSE)=""),0,HLOOKUP($AL36&amp;"a",[11]Feuil1!$A$27:$EP$48,11,FALSE))</f>
        <v>0</v>
      </c>
      <c r="BD36" s="706">
        <f>IF(HLOOKUP($AL36&amp;"aa",[11]Feuil1!$A$27:$EP$48,11,FALSE)=FALSE,0,HLOOKUP($AL36&amp;"aa",[11]Feuil1!$A$27:$EP$48,11,FALSE))</f>
        <v>0</v>
      </c>
      <c r="BE36" s="706">
        <f>IF(OR(HLOOKUP($AL36&amp;"a",[11]Feuil1!$A$27:$EP$48,12,FALSE)=FALSE,HLOOKUP($AL36&amp;"a",[11]Feuil1!$A$27:$EP$48,12,FALSE)=""),0,HLOOKUP($AL36&amp;"a",[11]Feuil1!$A$27:$EP$48,12,FALSE))</f>
        <v>0</v>
      </c>
      <c r="BF36" s="706">
        <f>IF(HLOOKUP($AL36&amp;"aa",[11]Feuil1!$A$27:$EP$48,12,FALSE)=FALSE,0,HLOOKUP($AL36&amp;"aa",[11]Feuil1!$A$27:$EP$48,12,FALSE))</f>
        <v>0</v>
      </c>
      <c r="BG36" s="706">
        <f>IF(OR(HLOOKUP($AL36&amp;"a",[11]Feuil1!$A$27:$EP$48,13,FALSE)=FALSE,HLOOKUP($AL36&amp;"a",[11]Feuil1!$A$27:$EP$48,13,FALSE)=""),0,HLOOKUP($AL36&amp;"a",[11]Feuil1!$A$27:$EP$48,13,FALSE))</f>
        <v>0</v>
      </c>
      <c r="BH36" s="706">
        <f>IF(HLOOKUP($AL36&amp;"aa",[11]Feuil1!$A$27:$EP$48,13,FALSE)=FALSE,0,HLOOKUP($AL36&amp;"aa",[11]Feuil1!$A$27:$EP$48,13,FALSE))</f>
        <v>0</v>
      </c>
      <c r="BI36" s="706">
        <f>IF(OR(HLOOKUP($AL36&amp;"a",[11]Feuil1!$A$27:$EP$48,14,FALSE)=FALSE,HLOOKUP($AL36&amp;"a",[11]Feuil1!$A$27:$EP$48,14,FALSE)=""),0,HLOOKUP($AL36&amp;"a",[11]Feuil1!$A$27:$EP$48,14,FALSE))</f>
        <v>0</v>
      </c>
      <c r="BJ36" s="706">
        <f>IF(HLOOKUP($AL36&amp;"aa",[11]Feuil1!$A$27:$EP$48,14,FALSE)=FALSE,0,HLOOKUP($AL36&amp;"aa",[11]Feuil1!$A$27:$EP$48,14,FALSE))</f>
        <v>0</v>
      </c>
      <c r="BK36" s="706">
        <f>IF(OR(HLOOKUP($AL36&amp;"a",[11]Feuil1!$A$27:$EP$48,15,FALSE)=FALSE,HLOOKUP($AL36&amp;"a",[11]Feuil1!$A$27:$EP$48,15,FALSE)=""),0,HLOOKUP($AL36&amp;"a",[11]Feuil1!$A$27:$EP$48,15,FALSE))</f>
        <v>0</v>
      </c>
      <c r="BL36" s="706">
        <f>IF(HLOOKUP($AL36&amp;"aa",[11]Feuil1!$A$27:$EP$48,15,FALSE)=FALSE,0,HLOOKUP($AL36&amp;"aa",[11]Feuil1!$A$27:$EP$48,15,FALSE))</f>
        <v>0</v>
      </c>
      <c r="BM36" s="706">
        <f>IF(OR(HLOOKUP($AL36&amp;"a",[11]Feuil1!$A$27:$EP$48,16,FALSE)=FALSE,HLOOKUP($AL36&amp;"a",[11]Feuil1!$A$27:$EP$48,16,FALSE)=""),0,HLOOKUP($AL36&amp;"a",[11]Feuil1!$A$27:$EP$48,16,FALSE))</f>
        <v>0</v>
      </c>
      <c r="BN36" s="706">
        <f>IF(HLOOKUP($AL36&amp;"aa",[11]Feuil1!$A$27:$EP$48,16,FALSE)=FALSE,0,HLOOKUP($AL36&amp;"aa",[11]Feuil1!$A$27:$EP$48,16,FALSE))</f>
        <v>0</v>
      </c>
      <c r="BO36" s="706">
        <f>IF(OR(HLOOKUP($AL36&amp;"a",[11]Feuil1!$A$27:$EP$48,17,FALSE)=FALSE,HLOOKUP($AL36&amp;"a",[11]Feuil1!$A$27:$EP$48,17,FALSE)=""),0,HLOOKUP($AL36&amp;"a",[11]Feuil1!$A$27:$EP$48,17,FALSE))</f>
        <v>0</v>
      </c>
      <c r="BP36" s="706">
        <f>IF(HLOOKUP($AL36&amp;"aa",[11]Feuil1!$A$27:$EP$48,17,FALSE)=FALSE,0,HLOOKUP($AL36&amp;"aa",[11]Feuil1!$A$27:$EP$48,17,FALSE))</f>
        <v>0</v>
      </c>
      <c r="BQ36" s="706">
        <f>IF(OR(HLOOKUP($AL36&amp;"a",[11]Feuil1!$A$27:$EP$48,18,FALSE)=FALSE,HLOOKUP($AL36&amp;"a",[11]Feuil1!$A$27:$EP$48,18,FALSE)=""),0,HLOOKUP($AL36&amp;"a",[11]Feuil1!$A$27:$EP$48,18,FALSE))</f>
        <v>0</v>
      </c>
      <c r="BR36" s="706">
        <f>IF(HLOOKUP($AL36&amp;"aa",[11]Feuil1!$A$27:$EP$48,18,FALSE)=FALSE,0,HLOOKUP($AL36&amp;"aa",[11]Feuil1!$A$27:$EP$48,18,FALSE))</f>
        <v>0</v>
      </c>
      <c r="BS36" s="707">
        <f t="shared" si="29"/>
        <v>7.8235294117647056</v>
      </c>
      <c r="BT36" s="707">
        <f t="shared" si="30"/>
        <v>9.8260869565217384</v>
      </c>
      <c r="BU36" s="707">
        <f t="shared" si="31"/>
        <v>8.9749999999999996</v>
      </c>
      <c r="BV36" s="708">
        <f t="shared" ca="1" si="32"/>
        <v>17</v>
      </c>
      <c r="BW36" s="708">
        <f t="shared" ca="1" si="33"/>
        <v>23</v>
      </c>
      <c r="BX36" t="str">
        <f t="shared" si="34"/>
        <v>RICHARD Patrice</v>
      </c>
      <c r="BY36" s="709">
        <v>21</v>
      </c>
      <c r="BZ36" s="710" t="s">
        <v>578</v>
      </c>
      <c r="CA36" s="711" t="s">
        <v>579</v>
      </c>
      <c r="CB36" s="709">
        <v>9</v>
      </c>
      <c r="CC36" s="712" t="s">
        <v>580</v>
      </c>
      <c r="CD36" s="709" t="s">
        <v>525</v>
      </c>
      <c r="CE36" s="591" t="e">
        <f t="shared" si="35"/>
        <v>#N/A</v>
      </c>
      <c r="CF36" s="561"/>
      <c r="CG36" s="561"/>
      <c r="CH36" s="561"/>
      <c r="CI36" s="714"/>
      <c r="CK36" s="715">
        <f t="shared" si="36"/>
        <v>35</v>
      </c>
      <c r="CL36" s="591">
        <f t="shared" si="17"/>
        <v>0</v>
      </c>
      <c r="CM36" s="716">
        <f t="shared" si="45"/>
        <v>-2.0309999999999491</v>
      </c>
      <c r="CN36" s="716">
        <f t="shared" si="45"/>
        <v>-6</v>
      </c>
      <c r="CO36" s="716">
        <f t="shared" si="45"/>
        <v>-5</v>
      </c>
      <c r="CP36" s="716">
        <f t="shared" si="45"/>
        <v>-14</v>
      </c>
      <c r="CQ36" s="716">
        <f t="shared" si="45"/>
        <v>0</v>
      </c>
      <c r="CR36" s="716">
        <f t="shared" si="45"/>
        <v>35</v>
      </c>
      <c r="CS36" s="716">
        <f t="shared" si="45"/>
        <v>-3</v>
      </c>
      <c r="CT36" s="716">
        <f t="shared" si="45"/>
        <v>25</v>
      </c>
      <c r="CU36" s="716">
        <f t="shared" si="45"/>
        <v>0</v>
      </c>
      <c r="CV36" s="717" t="str">
        <f t="shared" si="37"/>
        <v>faux</v>
      </c>
      <c r="CW36" s="718">
        <f>IF(E36=0,"",VLOOKUP(B36,[10]liste!AU:BD,10,FALSE))</f>
        <v>2</v>
      </c>
      <c r="CX36" s="719">
        <f t="shared" si="19"/>
        <v>880</v>
      </c>
      <c r="CY36" s="720">
        <f t="shared" si="38"/>
        <v>8</v>
      </c>
      <c r="CZ36" s="719"/>
      <c r="DA36" s="719"/>
      <c r="DB36" s="719"/>
      <c r="DC36" s="722" t="str">
        <f t="shared" ca="1" si="20"/>
        <v>x</v>
      </c>
      <c r="DE36" s="723">
        <f t="shared" si="21"/>
        <v>850.03099999999995</v>
      </c>
      <c r="DF36" s="723">
        <f t="shared" si="22"/>
        <v>880</v>
      </c>
      <c r="DG36" s="697" t="str">
        <f t="shared" si="23"/>
        <v>Rochefort Reginald</v>
      </c>
      <c r="DH36" s="724">
        <f t="shared" si="24"/>
        <v>0</v>
      </c>
      <c r="DI36" s="724">
        <f t="shared" si="39"/>
        <v>2</v>
      </c>
      <c r="DJ36" s="719">
        <f t="shared" si="25"/>
        <v>823</v>
      </c>
      <c r="DK36" s="719" t="str">
        <f t="shared" si="26"/>
        <v/>
      </c>
      <c r="DL36" s="719" t="str">
        <f t="shared" si="40"/>
        <v/>
      </c>
      <c r="DM36" s="719"/>
      <c r="DN36" s="719"/>
      <c r="DO36" s="719"/>
      <c r="DP36" s="720">
        <f t="shared" si="41"/>
        <v>8</v>
      </c>
      <c r="DQ36" s="591">
        <f ca="1">VLOOKUP(DG36,[10]résultats!$A$2:$DE$70,109,FALSE)</f>
        <v>17</v>
      </c>
      <c r="DR36" s="591">
        <f ca="1">VLOOKUP(DG36,[10]résultats!$A$2:$DG$70,111,FALSE)</f>
        <v>40</v>
      </c>
      <c r="DT36" s="591">
        <f t="shared" si="42"/>
        <v>23</v>
      </c>
      <c r="DU36" s="591">
        <f t="shared" si="43"/>
        <v>23</v>
      </c>
    </row>
    <row r="37" spans="1:125" s="554" customFormat="1" ht="23.1" customHeight="1">
      <c r="A37" s="308">
        <f t="shared" si="9"/>
        <v>19</v>
      </c>
      <c r="B37" s="297" t="str">
        <f>IF(E37=0,"",VLOOKUP(E37,[10]liste!AM:AN,2,FALSE))</f>
        <v>Le Garnec Sacha</v>
      </c>
      <c r="C37" s="298">
        <f>IF(E37=0,"",VLOOKUP(B37,[10]liste!AN:AP,3,FALSE))</f>
        <v>8</v>
      </c>
      <c r="D37" s="691">
        <f t="shared" si="10"/>
        <v>9</v>
      </c>
      <c r="E37" s="692">
        <f>LARGE([10]liste!AM:AM,22)</f>
        <v>842.01499999999999</v>
      </c>
      <c r="F37" s="693">
        <v>855</v>
      </c>
      <c r="G37" s="693">
        <v>844</v>
      </c>
      <c r="H37" s="693">
        <v>887</v>
      </c>
      <c r="I37" s="692">
        <v>911</v>
      </c>
      <c r="J37" s="693">
        <v>915</v>
      </c>
      <c r="K37" s="693">
        <v>930</v>
      </c>
      <c r="L37" s="693">
        <v>921</v>
      </c>
      <c r="M37" s="692">
        <v>936</v>
      </c>
      <c r="N37" s="692">
        <v>937</v>
      </c>
      <c r="O37" s="694"/>
      <c r="P37" s="695">
        <f t="shared" ca="1" si="11"/>
        <v>1</v>
      </c>
      <c r="Q37" s="170">
        <f t="shared" si="12"/>
        <v>94.985000000000014</v>
      </c>
      <c r="R37" s="696">
        <f ca="1">IF(U37&lt;MAX(U$16:U$81)/6.2,"NS",IF(B37="",0,VLOOKUP(B37,[10]résultats!AX:DH,63,FALSE)))</f>
        <v>0.57149347628660607</v>
      </c>
      <c r="S37" s="697" t="str">
        <f t="shared" si="13"/>
        <v>Le Garnec Sacha</v>
      </c>
      <c r="T37" s="171">
        <f t="shared" ca="1" si="14"/>
        <v>24</v>
      </c>
      <c r="U37" s="172">
        <f t="shared" ca="1" si="14"/>
        <v>42</v>
      </c>
      <c r="V37" s="292">
        <f ca="1">IF(B37="",0,HLOOKUP(B37&amp;"a",[11]Feuil1!$A$27:$FX$48,20,FALSE)+RAND()*0.0001)</f>
        <v>12.000035667106529</v>
      </c>
      <c r="W37" s="293">
        <f ca="1">IF(B37="",0,HLOOKUP(B37&amp;"a",[11]Feuil1!$A$27:$FX$48,21,FALSE))+RAND()*0.0001</f>
        <v>5.0000829309296755</v>
      </c>
      <c r="X37" s="725">
        <f t="shared" si="27"/>
        <v>941</v>
      </c>
      <c r="Y37" s="701">
        <f t="shared" si="15"/>
        <v>937</v>
      </c>
      <c r="Z37" s="1161"/>
      <c r="AA37" s="1161"/>
      <c r="AB37" s="1161"/>
      <c r="AD37" s="739" t="str">
        <f>IF(CT9="","",CT9&amp;"  "&amp;CT10&amp;" pts en Avril")</f>
        <v>Franck H.  62 pts en Avril</v>
      </c>
      <c r="AE37" s="742"/>
      <c r="AF37" s="742"/>
      <c r="AH37" s="307" t="str">
        <f ca="1">IF(AJ37&lt;=2,"",VLOOKUP(AJ37,[10]résultats!DJ:DK,2,FALSE))</f>
        <v>Allano Antoine</v>
      </c>
      <c r="AI37" s="305" t="str">
        <f ca="1">LARGE([10]résultats!DG:DG,8)&amp;" matchs"</f>
        <v>57 matchs</v>
      </c>
      <c r="AJ37" s="740">
        <f ca="1">LARGE([10]résultats!DJ:DJ,8)</f>
        <v>57.853510307468767</v>
      </c>
      <c r="AK37" s="677">
        <f t="shared" si="28"/>
        <v>45</v>
      </c>
      <c r="AL37" s="705" t="str">
        <f t="shared" si="16"/>
        <v>Le Garnec Sacha</v>
      </c>
      <c r="AM37" s="706">
        <f>IF(OR(HLOOKUP($AL37&amp;"a",[11]Feuil1!$A$27:$EP$48,3,FALSE)=FALSE,HLOOKUP($AL37&amp;"a",[11]Feuil1!$A$27:$EP$48,3,FALSE)=""),0,HLOOKUP($AL37&amp;"a",[11]Feuil1!$A$27:$EP$48,3,FALSE))</f>
        <v>4</v>
      </c>
      <c r="AN37" s="706">
        <f>IF(HLOOKUP($AL37&amp;"aa",[11]Feuil1!$A$27:$EP$48,3,FALSE)=FALSE,0,HLOOKUP($AL37&amp;"aa",[11]Feuil1!$A$27:$EP$48,3,FALSE))</f>
        <v>0</v>
      </c>
      <c r="AO37" s="706">
        <f>IF(OR(HLOOKUP($AL37&amp;"a",[11]Feuil1!$A$27:$EP$48,4,FALSE)=FALSE,HLOOKUP($AL37&amp;"a",[11]Feuil1!$A$27:$EP$48,4,FALSE)=""),0,HLOOKUP($AL37&amp;"a",[11]Feuil1!$A$27:$EP$48,4,FALSE))</f>
        <v>1</v>
      </c>
      <c r="AP37" s="706">
        <f>IF(HLOOKUP($AL37&amp;"aa",[11]Feuil1!$A$27:$EP$48,4,FALSE)=FALSE,0,HLOOKUP($AL37&amp;"aa",[11]Feuil1!$A$27:$EP$48,4,FALSE))</f>
        <v>0</v>
      </c>
      <c r="AQ37" s="706">
        <f>IF(OR(HLOOKUP($AL37&amp;"a",[11]Feuil1!$A$27:$EP$48,5,FALSE)=FALSE,HLOOKUP($AL37&amp;"a",[11]Feuil1!$A$27:$EP$48,5,FALSE)=""),0,HLOOKUP($AL37&amp;"a",[11]Feuil1!$A$27:$EP$48,5,FALSE))</f>
        <v>1</v>
      </c>
      <c r="AR37" s="706">
        <f>IF(HLOOKUP($AL37&amp;"aa",[11]Feuil1!$A$27:$EP$48,5,FALSE)=FALSE,0,HLOOKUP($AL37&amp;"aa",[11]Feuil1!$A$27:$EP$48,5,FALSE))</f>
        <v>2</v>
      </c>
      <c r="AS37" s="706">
        <f>IF(OR(HLOOKUP($AL37&amp;"a",[11]Feuil1!$A$27:$EP$48,6,FALSE)=FALSE,HLOOKUP($AL37&amp;"a",[11]Feuil1!$A$27:$EP$48,6,FALSE)=""),0,HLOOKUP($AL37&amp;"a",[11]Feuil1!$A$27:$EP$48,6,FALSE))</f>
        <v>4</v>
      </c>
      <c r="AT37" s="706">
        <f>IF(HLOOKUP($AL37&amp;"aa",[11]Feuil1!$A$27:$EP$48,6,FALSE)=FALSE,0,HLOOKUP($AL37&amp;"aa",[11]Feuil1!$A$27:$EP$48,6,FALSE))</f>
        <v>3</v>
      </c>
      <c r="AU37" s="706">
        <f>IF(OR(HLOOKUP($AL37&amp;"a",[11]Feuil1!$A$27:$EP$48,7,FALSE)=FALSE,HLOOKUP($AL37&amp;"a",[11]Feuil1!$A$27:$EP$48,7,FALSE)=""),0,HLOOKUP($AL37&amp;"a",[11]Feuil1!$A$27:$EP$48,7,FALSE))</f>
        <v>8</v>
      </c>
      <c r="AV37" s="706">
        <f>IF(HLOOKUP($AL37&amp;"aa",[11]Feuil1!$A$27:$EP$48,7,FALSE)=FALSE,0,HLOOKUP($AL37&amp;"aa",[11]Feuil1!$A$27:$EP$48,7,FALSE))</f>
        <v>5</v>
      </c>
      <c r="AW37" s="706">
        <f>IF(OR(HLOOKUP($AL37&amp;"a",[11]Feuil1!$A$27:$EP$48,8,FALSE)=FALSE,HLOOKUP($AL37&amp;"a",[11]Feuil1!$A$27:$EP$48,8,FALSE)=""),0,HLOOKUP($AL37&amp;"a",[11]Feuil1!$A$27:$EP$48,8,FALSE))</f>
        <v>3</v>
      </c>
      <c r="AX37" s="706">
        <f>IF(HLOOKUP($AL37&amp;"aa",[11]Feuil1!$A$27:$EP$48,8,FALSE)=FALSE,0,HLOOKUP($AL37&amp;"aa",[11]Feuil1!$A$27:$EP$48,8,FALSE))</f>
        <v>7</v>
      </c>
      <c r="AY37" s="706">
        <f>IF(OR(HLOOKUP($AL37&amp;"a",[11]Feuil1!$A$27:$EP$48,9,FALSE)=FALSE,HLOOKUP($AL37&amp;"a",[11]Feuil1!$A$27:$EP$48,9,FALSE)=""),0,HLOOKUP($AL37&amp;"a",[11]Feuil1!$A$27:$EP$48,9,FALSE))</f>
        <v>1</v>
      </c>
      <c r="AZ37" s="706">
        <f>IF(HLOOKUP($AL37&amp;"aa",[11]Feuil1!$A$27:$EP$48,9,FALSE)=FALSE,0,HLOOKUP($AL37&amp;"aa",[11]Feuil1!$A$27:$EP$48,9,FALSE))</f>
        <v>3</v>
      </c>
      <c r="BA37" s="706">
        <f>IF(OR(HLOOKUP($AL37&amp;"a",[11]Feuil1!$A$27:$EP$48,10,FALSE)=FALSE,HLOOKUP($AL37&amp;"a",[11]Feuil1!$A$27:$EP$48,10,FALSE)=""),0,HLOOKUP($AL37&amp;"a",[11]Feuil1!$A$27:$EP$48,10,FALSE))</f>
        <v>1</v>
      </c>
      <c r="BB37" s="706">
        <f>IF(HLOOKUP($AL37&amp;"aa",[11]Feuil1!$A$27:$EP$48,10,FALSE)=FALSE,0,HLOOKUP($AL37&amp;"aa",[11]Feuil1!$A$27:$EP$48,10,FALSE))</f>
        <v>1</v>
      </c>
      <c r="BC37" s="706">
        <f>IF(OR(HLOOKUP($AL37&amp;"a",[11]Feuil1!$A$27:$EP$48,11,FALSE)=FALSE,HLOOKUP($AL37&amp;"a",[11]Feuil1!$A$27:$EP$48,11,FALSE)=""),0,HLOOKUP($AL37&amp;"a",[11]Feuil1!$A$27:$EP$48,11,FALSE))</f>
        <v>0</v>
      </c>
      <c r="BD37" s="706">
        <f>IF(HLOOKUP($AL37&amp;"aa",[11]Feuil1!$A$27:$EP$48,11,FALSE)=FALSE,0,HLOOKUP($AL37&amp;"aa",[11]Feuil1!$A$27:$EP$48,11,FALSE))</f>
        <v>1</v>
      </c>
      <c r="BE37" s="706">
        <f>IF(OR(HLOOKUP($AL37&amp;"a",[11]Feuil1!$A$27:$EP$48,12,FALSE)=FALSE,HLOOKUP($AL37&amp;"a",[11]Feuil1!$A$27:$EP$48,12,FALSE)=""),0,HLOOKUP($AL37&amp;"a",[11]Feuil1!$A$27:$EP$48,12,FALSE))</f>
        <v>0</v>
      </c>
      <c r="BF37" s="706">
        <f>IF(HLOOKUP($AL37&amp;"aa",[11]Feuil1!$A$27:$EP$48,12,FALSE)=FALSE,0,HLOOKUP($AL37&amp;"aa",[11]Feuil1!$A$27:$EP$48,12,FALSE))</f>
        <v>0</v>
      </c>
      <c r="BG37" s="706">
        <f>IF(OR(HLOOKUP($AL37&amp;"a",[11]Feuil1!$A$27:$EP$48,13,FALSE)=FALSE,HLOOKUP($AL37&amp;"a",[11]Feuil1!$A$27:$EP$48,13,FALSE)=""),0,HLOOKUP($AL37&amp;"a",[11]Feuil1!$A$27:$EP$48,13,FALSE))</f>
        <v>0</v>
      </c>
      <c r="BH37" s="706">
        <f>IF(HLOOKUP($AL37&amp;"aa",[11]Feuil1!$A$27:$EP$48,13,FALSE)=FALSE,0,HLOOKUP($AL37&amp;"aa",[11]Feuil1!$A$27:$EP$48,13,FALSE))</f>
        <v>0</v>
      </c>
      <c r="BI37" s="706">
        <f>IF(OR(HLOOKUP($AL37&amp;"a",[11]Feuil1!$A$27:$EP$48,14,FALSE)=FALSE,HLOOKUP($AL37&amp;"a",[11]Feuil1!$A$27:$EP$48,14,FALSE)=""),0,HLOOKUP($AL37&amp;"a",[11]Feuil1!$A$27:$EP$48,14,FALSE))</f>
        <v>0</v>
      </c>
      <c r="BJ37" s="706">
        <f>IF(HLOOKUP($AL37&amp;"aa",[11]Feuil1!$A$27:$EP$48,14,FALSE)=FALSE,0,HLOOKUP($AL37&amp;"aa",[11]Feuil1!$A$27:$EP$48,14,FALSE))</f>
        <v>0</v>
      </c>
      <c r="BK37" s="706">
        <f>IF(OR(HLOOKUP($AL37&amp;"a",[11]Feuil1!$A$27:$EP$48,15,FALSE)=FALSE,HLOOKUP($AL37&amp;"a",[11]Feuil1!$A$27:$EP$48,15,FALSE)=""),0,HLOOKUP($AL37&amp;"a",[11]Feuil1!$A$27:$EP$48,15,FALSE))</f>
        <v>0</v>
      </c>
      <c r="BL37" s="706">
        <f>IF(HLOOKUP($AL37&amp;"aa",[11]Feuil1!$A$27:$EP$48,15,FALSE)=FALSE,0,HLOOKUP($AL37&amp;"aa",[11]Feuil1!$A$27:$EP$48,15,FALSE))</f>
        <v>0</v>
      </c>
      <c r="BM37" s="706">
        <f>IF(OR(HLOOKUP($AL37&amp;"a",[11]Feuil1!$A$27:$EP$48,16,FALSE)=FALSE,HLOOKUP($AL37&amp;"a",[11]Feuil1!$A$27:$EP$48,16,FALSE)=""),0,HLOOKUP($AL37&amp;"a",[11]Feuil1!$A$27:$EP$48,16,FALSE))</f>
        <v>0</v>
      </c>
      <c r="BN37" s="706">
        <f>IF(HLOOKUP($AL37&amp;"aa",[11]Feuil1!$A$27:$EP$48,16,FALSE)=FALSE,0,HLOOKUP($AL37&amp;"aa",[11]Feuil1!$A$27:$EP$48,16,FALSE))</f>
        <v>0</v>
      </c>
      <c r="BO37" s="706">
        <f>IF(OR(HLOOKUP($AL37&amp;"a",[11]Feuil1!$A$27:$EP$48,17,FALSE)=FALSE,HLOOKUP($AL37&amp;"a",[11]Feuil1!$A$27:$EP$48,17,FALSE)=""),0,HLOOKUP($AL37&amp;"a",[11]Feuil1!$A$27:$EP$48,17,FALSE))</f>
        <v>0</v>
      </c>
      <c r="BP37" s="706">
        <f>IF(HLOOKUP($AL37&amp;"aa",[11]Feuil1!$A$27:$EP$48,17,FALSE)=FALSE,0,HLOOKUP($AL37&amp;"aa",[11]Feuil1!$A$27:$EP$48,17,FALSE))</f>
        <v>0</v>
      </c>
      <c r="BQ37" s="706">
        <f>IF(OR(HLOOKUP($AL37&amp;"a",[11]Feuil1!$A$27:$EP$48,18,FALSE)=FALSE,HLOOKUP($AL37&amp;"a",[11]Feuil1!$A$27:$EP$48,18,FALSE)=""),0,HLOOKUP($AL37&amp;"a",[11]Feuil1!$A$27:$EP$48,18,FALSE))</f>
        <v>0</v>
      </c>
      <c r="BR37" s="706">
        <f>IF(HLOOKUP($AL37&amp;"aa",[11]Feuil1!$A$27:$EP$48,18,FALSE)=FALSE,0,HLOOKUP($AL37&amp;"aa",[11]Feuil1!$A$27:$EP$48,18,FALSE))</f>
        <v>0</v>
      </c>
      <c r="BS37" s="707">
        <f t="shared" si="29"/>
        <v>8.2608695652173907</v>
      </c>
      <c r="BT37" s="707">
        <f t="shared" si="30"/>
        <v>9.5909090909090917</v>
      </c>
      <c r="BU37" s="707">
        <f t="shared" si="31"/>
        <v>8.9111111111111114</v>
      </c>
      <c r="BV37" s="708">
        <f t="shared" ca="1" si="32"/>
        <v>24</v>
      </c>
      <c r="BW37" s="708">
        <f t="shared" ca="1" si="33"/>
        <v>18</v>
      </c>
      <c r="BX37" t="str">
        <f t="shared" si="34"/>
        <v>ROSZAK Clément</v>
      </c>
      <c r="BY37" s="726">
        <v>22</v>
      </c>
      <c r="BZ37" s="727" t="s">
        <v>581</v>
      </c>
      <c r="CA37" s="728" t="s">
        <v>582</v>
      </c>
      <c r="CB37" s="726">
        <v>13</v>
      </c>
      <c r="CC37" s="729" t="s">
        <v>583</v>
      </c>
      <c r="CD37" s="726" t="s">
        <v>525</v>
      </c>
      <c r="CE37" s="591" t="str">
        <f t="shared" si="35"/>
        <v>736.00</v>
      </c>
      <c r="CF37" s="561"/>
      <c r="CG37" s="561"/>
      <c r="CH37" s="561"/>
      <c r="CI37" s="714"/>
      <c r="CK37" s="715">
        <f t="shared" si="36"/>
        <v>43</v>
      </c>
      <c r="CL37" s="591">
        <f t="shared" si="17"/>
        <v>2</v>
      </c>
      <c r="CM37" s="716">
        <f t="shared" si="45"/>
        <v>12.985000000000014</v>
      </c>
      <c r="CN37" s="716">
        <f t="shared" si="45"/>
        <v>-11</v>
      </c>
      <c r="CO37" s="716">
        <f t="shared" si="45"/>
        <v>43</v>
      </c>
      <c r="CP37" s="716">
        <f t="shared" si="45"/>
        <v>24</v>
      </c>
      <c r="CQ37" s="716">
        <f t="shared" si="45"/>
        <v>4</v>
      </c>
      <c r="CR37" s="716">
        <f t="shared" si="45"/>
        <v>15</v>
      </c>
      <c r="CS37" s="716">
        <f t="shared" si="45"/>
        <v>-9</v>
      </c>
      <c r="CT37" s="716">
        <f t="shared" si="45"/>
        <v>15</v>
      </c>
      <c r="CU37" s="716">
        <f t="shared" si="45"/>
        <v>1</v>
      </c>
      <c r="CV37" s="717" t="str">
        <f t="shared" si="37"/>
        <v>faux</v>
      </c>
      <c r="CW37" s="718">
        <f>IF(E37=0,"",VLOOKUP(B37,[10]liste!AU:BD,10,FALSE))</f>
        <v>2</v>
      </c>
      <c r="CX37" s="719">
        <f t="shared" si="19"/>
        <v>937</v>
      </c>
      <c r="CY37" s="720">
        <f t="shared" si="38"/>
        <v>9</v>
      </c>
      <c r="CZ37" s="719"/>
      <c r="DA37" s="719"/>
      <c r="DB37" s="719"/>
      <c r="DC37" s="722" t="str">
        <f t="shared" ca="1" si="20"/>
        <v>x</v>
      </c>
      <c r="DE37" s="723">
        <f t="shared" si="21"/>
        <v>842.01499999999999</v>
      </c>
      <c r="DF37" s="723">
        <f t="shared" si="22"/>
        <v>937</v>
      </c>
      <c r="DG37" s="697" t="str">
        <f t="shared" si="23"/>
        <v>Le Garnec Sacha</v>
      </c>
      <c r="DH37" s="724">
        <f t="shared" si="24"/>
        <v>5</v>
      </c>
      <c r="DI37" s="724">
        <f t="shared" si="39"/>
        <v>2</v>
      </c>
      <c r="DJ37" s="719">
        <f t="shared" si="25"/>
        <v>911</v>
      </c>
      <c r="DK37" s="719" t="str">
        <f t="shared" si="26"/>
        <v/>
      </c>
      <c r="DL37" s="719" t="str">
        <f t="shared" si="40"/>
        <v/>
      </c>
      <c r="DM37" s="719"/>
      <c r="DN37" s="719"/>
      <c r="DO37" s="719"/>
      <c r="DP37" s="720">
        <f t="shared" si="41"/>
        <v>9</v>
      </c>
      <c r="DQ37" s="591">
        <f ca="1">VLOOKUP(DG37,[10]résultats!$A$2:$DE$70,109,FALSE)</f>
        <v>24</v>
      </c>
      <c r="DR37" s="591">
        <f ca="1">VLOOKUP(DG37,[10]résultats!$A$2:$DG$70,111,FALSE)</f>
        <v>42</v>
      </c>
      <c r="DT37" s="591">
        <f t="shared" si="42"/>
        <v>19</v>
      </c>
      <c r="DU37" s="591">
        <f t="shared" si="43"/>
        <v>19</v>
      </c>
    </row>
    <row r="38" spans="1:125" s="554" customFormat="1" ht="23.1" customHeight="1">
      <c r="A38" s="308">
        <f t="shared" si="9"/>
        <v>22</v>
      </c>
      <c r="B38" s="297" t="str">
        <f>IF(E38=0,"",VLOOKUP(E38,[10]liste!AM:AN,2,FALSE))</f>
        <v>Cojean Youen</v>
      </c>
      <c r="C38" s="298">
        <f>IF(E38=0,"",VLOOKUP(B38,[10]liste!AN:AP,3,FALSE))</f>
        <v>8</v>
      </c>
      <c r="D38" s="691">
        <f t="shared" si="10"/>
        <v>8</v>
      </c>
      <c r="E38" s="692">
        <f>LARGE([10]liste!AM:AM,23)</f>
        <v>835.07</v>
      </c>
      <c r="F38" s="693">
        <v>833</v>
      </c>
      <c r="G38" s="693">
        <v>852</v>
      </c>
      <c r="H38" s="693">
        <v>871</v>
      </c>
      <c r="I38" s="692">
        <v>878</v>
      </c>
      <c r="J38" s="693">
        <v>880</v>
      </c>
      <c r="K38" s="693">
        <v>882</v>
      </c>
      <c r="L38" s="693">
        <v>884</v>
      </c>
      <c r="M38" s="692">
        <v>891</v>
      </c>
      <c r="N38" s="692">
        <v>890.9</v>
      </c>
      <c r="O38" s="694"/>
      <c r="P38" s="695">
        <f t="shared" ca="1" si="11"/>
        <v>-0.10000000000002274</v>
      </c>
      <c r="Q38" s="170">
        <f t="shared" si="12"/>
        <v>55.829999999999927</v>
      </c>
      <c r="R38" s="696">
        <f ca="1">IF(U38&lt;MAX(U$16:U$81)/6.2,"NS",IF(B38="",0,VLOOKUP(B38,[10]résultats!AX:DH,63,FALSE)))</f>
        <v>0.53973244457131941</v>
      </c>
      <c r="S38" s="697" t="str">
        <f t="shared" si="13"/>
        <v>Cojean Youen</v>
      </c>
      <c r="T38" s="171">
        <f t="shared" ca="1" si="14"/>
        <v>34</v>
      </c>
      <c r="U38" s="172">
        <f t="shared" ca="1" si="14"/>
        <v>63</v>
      </c>
      <c r="V38" s="292">
        <f ca="1">IF(B38="",0,HLOOKUP(B38&amp;"a",[11]Feuil1!$A$27:$FX$48,20,FALSE)+RAND()*0.0001)</f>
        <v>9.0000880291392473</v>
      </c>
      <c r="W38" s="293">
        <f ca="1">IF(B38="",0,HLOOKUP(B38&amp;"a",[11]Feuil1!$A$27:$FX$48,21,FALSE))+RAND()*0.0001</f>
        <v>7.0000391358153085</v>
      </c>
      <c r="X38" s="725">
        <f t="shared" si="27"/>
        <v>878</v>
      </c>
      <c r="Y38" s="701">
        <f t="shared" si="15"/>
        <v>891</v>
      </c>
      <c r="Z38" s="1161"/>
      <c r="AA38" s="1161"/>
      <c r="AB38" s="1161"/>
      <c r="AC38" s="581"/>
      <c r="AD38" s="739" t="str">
        <f>IF(CU9="","",CU9&amp;"  "&amp;CU10&amp;" pts en Mai")</f>
        <v>Quentin M.  29 pts en Mai</v>
      </c>
      <c r="AE38" s="744"/>
      <c r="AG38" s="581"/>
      <c r="AH38" s="745" t="str">
        <f ca="1">ROUND((VLOOKUP(AH30,[10]liste!$B$2:$M$100,12,FALSE)+VLOOKUP(AH31,[10]liste!$B$2:$M$100,12,FALSE)+VLOOKUP(AH32,[10]liste!$B$2:$M$100,12,FALSE)+VLOOKUP(AH33,[10]liste!$B$2:$M$100,12,FALSE)+VLOOKUP(AH34,[10]liste!$B$2:$M$100,12,FALSE)+VLOOKUP(AH35,[10]liste!$B$2:$M$100,12,FALSE)+VLOOKUP(AH36,[10]liste!$B$2:$M$100,12,FALSE)+VLOOKUP(AH37,[10]liste!$B$2:$M$100,12,FALSE))/8,0)&amp;" ans de moyenne"</f>
        <v>21 ans de moyenne</v>
      </c>
      <c r="AI38" s="746"/>
      <c r="AJ38" s="677"/>
      <c r="AK38" s="677">
        <f t="shared" si="28"/>
        <v>60</v>
      </c>
      <c r="AL38" s="705" t="str">
        <f t="shared" si="16"/>
        <v>Cojean Youen</v>
      </c>
      <c r="AM38" s="706">
        <f>IF(OR(HLOOKUP($AL38&amp;"a",[11]Feuil1!$A$27:$EP$48,3,FALSE)=FALSE,HLOOKUP($AL38&amp;"a",[11]Feuil1!$A$27:$EP$48,3,FALSE)=""),0,HLOOKUP($AL38&amp;"a",[11]Feuil1!$A$27:$EP$48,3,FALSE))</f>
        <v>8</v>
      </c>
      <c r="AN38" s="706">
        <f>IF(HLOOKUP($AL38&amp;"aa",[11]Feuil1!$A$27:$EP$48,3,FALSE)=FALSE,0,HLOOKUP($AL38&amp;"aa",[11]Feuil1!$A$27:$EP$48,3,FALSE))</f>
        <v>0</v>
      </c>
      <c r="AO38" s="706">
        <f>IF(OR(HLOOKUP($AL38&amp;"a",[11]Feuil1!$A$27:$EP$48,4,FALSE)=FALSE,HLOOKUP($AL38&amp;"a",[11]Feuil1!$A$27:$EP$48,4,FALSE)=""),0,HLOOKUP($AL38&amp;"a",[11]Feuil1!$A$27:$EP$48,4,FALSE))</f>
        <v>7</v>
      </c>
      <c r="AP38" s="706">
        <f>IF(HLOOKUP($AL38&amp;"aa",[11]Feuil1!$A$27:$EP$48,4,FALSE)=FALSE,0,HLOOKUP($AL38&amp;"aa",[11]Feuil1!$A$27:$EP$48,4,FALSE))</f>
        <v>0</v>
      </c>
      <c r="AQ38" s="706">
        <f>IF(OR(HLOOKUP($AL38&amp;"a",[11]Feuil1!$A$27:$EP$48,5,FALSE)=FALSE,HLOOKUP($AL38&amp;"a",[11]Feuil1!$A$27:$EP$48,5,FALSE)=""),0,HLOOKUP($AL38&amp;"a",[11]Feuil1!$A$27:$EP$48,5,FALSE))</f>
        <v>3</v>
      </c>
      <c r="AR38" s="706">
        <f>IF(HLOOKUP($AL38&amp;"aa",[11]Feuil1!$A$27:$EP$48,5,FALSE)=FALSE,0,HLOOKUP($AL38&amp;"aa",[11]Feuil1!$A$27:$EP$48,5,FALSE))</f>
        <v>3</v>
      </c>
      <c r="AS38" s="706">
        <f>IF(OR(HLOOKUP($AL38&amp;"a",[11]Feuil1!$A$27:$EP$48,6,FALSE)=FALSE,HLOOKUP($AL38&amp;"a",[11]Feuil1!$A$27:$EP$48,6,FALSE)=""),0,HLOOKUP($AL38&amp;"a",[11]Feuil1!$A$27:$EP$48,6,FALSE))</f>
        <v>6</v>
      </c>
      <c r="AT38" s="706">
        <f>IF(HLOOKUP($AL38&amp;"aa",[11]Feuil1!$A$27:$EP$48,6,FALSE)=FALSE,0,HLOOKUP($AL38&amp;"aa",[11]Feuil1!$A$27:$EP$48,6,FALSE))</f>
        <v>4</v>
      </c>
      <c r="AU38" s="706">
        <f>IF(OR(HLOOKUP($AL38&amp;"a",[11]Feuil1!$A$27:$EP$48,7,FALSE)=FALSE,HLOOKUP($AL38&amp;"a",[11]Feuil1!$A$27:$EP$48,7,FALSE)=""),0,HLOOKUP($AL38&amp;"a",[11]Feuil1!$A$27:$EP$48,7,FALSE))</f>
        <v>5</v>
      </c>
      <c r="AV38" s="706">
        <f>IF(HLOOKUP($AL38&amp;"aa",[11]Feuil1!$A$27:$EP$48,7,FALSE)=FALSE,0,HLOOKUP($AL38&amp;"aa",[11]Feuil1!$A$27:$EP$48,7,FALSE))</f>
        <v>5</v>
      </c>
      <c r="AW38" s="706">
        <f>IF(OR(HLOOKUP($AL38&amp;"a",[11]Feuil1!$A$27:$EP$48,8,FALSE)=FALSE,HLOOKUP($AL38&amp;"a",[11]Feuil1!$A$27:$EP$48,8,FALSE)=""),0,HLOOKUP($AL38&amp;"a",[11]Feuil1!$A$27:$EP$48,8,FALSE))</f>
        <v>2</v>
      </c>
      <c r="AX38" s="706">
        <f>IF(HLOOKUP($AL38&amp;"aa",[11]Feuil1!$A$27:$EP$48,8,FALSE)=FALSE,0,HLOOKUP($AL38&amp;"aa",[11]Feuil1!$A$27:$EP$48,8,FALSE))</f>
        <v>11</v>
      </c>
      <c r="AY38" s="706">
        <f>IF(OR(HLOOKUP($AL38&amp;"a",[11]Feuil1!$A$27:$EP$48,9,FALSE)=FALSE,HLOOKUP($AL38&amp;"a",[11]Feuil1!$A$27:$EP$48,9,FALSE)=""),0,HLOOKUP($AL38&amp;"a",[11]Feuil1!$A$27:$EP$48,9,FALSE))</f>
        <v>0</v>
      </c>
      <c r="AZ38" s="706">
        <f>IF(HLOOKUP($AL38&amp;"aa",[11]Feuil1!$A$27:$EP$48,9,FALSE)=FALSE,0,HLOOKUP($AL38&amp;"aa",[11]Feuil1!$A$27:$EP$48,9,FALSE))</f>
        <v>1</v>
      </c>
      <c r="BA38" s="706">
        <f>IF(OR(HLOOKUP($AL38&amp;"a",[11]Feuil1!$A$27:$EP$48,10,FALSE)=FALSE,HLOOKUP($AL38&amp;"a",[11]Feuil1!$A$27:$EP$48,10,FALSE)=""),0,HLOOKUP($AL38&amp;"a",[11]Feuil1!$A$27:$EP$48,10,FALSE))</f>
        <v>0</v>
      </c>
      <c r="BB38" s="706">
        <f>IF(HLOOKUP($AL38&amp;"aa",[11]Feuil1!$A$27:$EP$48,10,FALSE)=FALSE,0,HLOOKUP($AL38&amp;"aa",[11]Feuil1!$A$27:$EP$48,10,FALSE))</f>
        <v>4</v>
      </c>
      <c r="BC38" s="706">
        <f>IF(OR(HLOOKUP($AL38&amp;"a",[11]Feuil1!$A$27:$EP$48,11,FALSE)=FALSE,HLOOKUP($AL38&amp;"a",[11]Feuil1!$A$27:$EP$48,11,FALSE)=""),0,HLOOKUP($AL38&amp;"a",[11]Feuil1!$A$27:$EP$48,11,FALSE))</f>
        <v>0</v>
      </c>
      <c r="BD38" s="706">
        <f>IF(HLOOKUP($AL38&amp;"aa",[11]Feuil1!$A$27:$EP$48,11,FALSE)=FALSE,0,HLOOKUP($AL38&amp;"aa",[11]Feuil1!$A$27:$EP$48,11,FALSE))</f>
        <v>0</v>
      </c>
      <c r="BE38" s="706">
        <f>IF(OR(HLOOKUP($AL38&amp;"a",[11]Feuil1!$A$27:$EP$48,12,FALSE)=FALSE,HLOOKUP($AL38&amp;"a",[11]Feuil1!$A$27:$EP$48,12,FALSE)=""),0,HLOOKUP($AL38&amp;"a",[11]Feuil1!$A$27:$EP$48,12,FALSE))</f>
        <v>0</v>
      </c>
      <c r="BF38" s="706">
        <f>IF(HLOOKUP($AL38&amp;"aa",[11]Feuil1!$A$27:$EP$48,12,FALSE)=FALSE,0,HLOOKUP($AL38&amp;"aa",[11]Feuil1!$A$27:$EP$48,12,FALSE))</f>
        <v>1</v>
      </c>
      <c r="BG38" s="706">
        <f>IF(OR(HLOOKUP($AL38&amp;"a",[11]Feuil1!$A$27:$EP$48,13,FALSE)=FALSE,HLOOKUP($AL38&amp;"a",[11]Feuil1!$A$27:$EP$48,13,FALSE)=""),0,HLOOKUP($AL38&amp;"a",[11]Feuil1!$A$27:$EP$48,13,FALSE))</f>
        <v>0</v>
      </c>
      <c r="BH38" s="706">
        <f>IF(HLOOKUP($AL38&amp;"aa",[11]Feuil1!$A$27:$EP$48,13,FALSE)=FALSE,0,HLOOKUP($AL38&amp;"aa",[11]Feuil1!$A$27:$EP$48,13,FALSE))</f>
        <v>0</v>
      </c>
      <c r="BI38" s="706">
        <f>IF(OR(HLOOKUP($AL38&amp;"a",[11]Feuil1!$A$27:$EP$48,14,FALSE)=FALSE,HLOOKUP($AL38&amp;"a",[11]Feuil1!$A$27:$EP$48,14,FALSE)=""),0,HLOOKUP($AL38&amp;"a",[11]Feuil1!$A$27:$EP$48,14,FALSE))</f>
        <v>0</v>
      </c>
      <c r="BJ38" s="706">
        <f>IF(HLOOKUP($AL38&amp;"aa",[11]Feuil1!$A$27:$EP$48,14,FALSE)=FALSE,0,HLOOKUP($AL38&amp;"aa",[11]Feuil1!$A$27:$EP$48,14,FALSE))</f>
        <v>0</v>
      </c>
      <c r="BK38" s="706">
        <f>IF(OR(HLOOKUP($AL38&amp;"a",[11]Feuil1!$A$27:$EP$48,15,FALSE)=FALSE,HLOOKUP($AL38&amp;"a",[11]Feuil1!$A$27:$EP$48,15,FALSE)=""),0,HLOOKUP($AL38&amp;"a",[11]Feuil1!$A$27:$EP$48,15,FALSE))</f>
        <v>0</v>
      </c>
      <c r="BL38" s="706">
        <f>IF(HLOOKUP($AL38&amp;"aa",[11]Feuil1!$A$27:$EP$48,15,FALSE)=FALSE,0,HLOOKUP($AL38&amp;"aa",[11]Feuil1!$A$27:$EP$48,15,FALSE))</f>
        <v>0</v>
      </c>
      <c r="BM38" s="706">
        <f>IF(OR(HLOOKUP($AL38&amp;"a",[11]Feuil1!$A$27:$EP$48,16,FALSE)=FALSE,HLOOKUP($AL38&amp;"a",[11]Feuil1!$A$27:$EP$48,16,FALSE)=""),0,HLOOKUP($AL38&amp;"a",[11]Feuil1!$A$27:$EP$48,16,FALSE))</f>
        <v>0</v>
      </c>
      <c r="BN38" s="706">
        <f>IF(HLOOKUP($AL38&amp;"aa",[11]Feuil1!$A$27:$EP$48,16,FALSE)=FALSE,0,HLOOKUP($AL38&amp;"aa",[11]Feuil1!$A$27:$EP$48,16,FALSE))</f>
        <v>0</v>
      </c>
      <c r="BO38" s="706">
        <f>IF(OR(HLOOKUP($AL38&amp;"a",[11]Feuil1!$A$27:$EP$48,17,FALSE)=FALSE,HLOOKUP($AL38&amp;"a",[11]Feuil1!$A$27:$EP$48,17,FALSE)=""),0,HLOOKUP($AL38&amp;"a",[11]Feuil1!$A$27:$EP$48,17,FALSE))</f>
        <v>0</v>
      </c>
      <c r="BP38" s="706">
        <f>IF(HLOOKUP($AL38&amp;"aa",[11]Feuil1!$A$27:$EP$48,17,FALSE)=FALSE,0,HLOOKUP($AL38&amp;"aa",[11]Feuil1!$A$27:$EP$48,17,FALSE))</f>
        <v>0</v>
      </c>
      <c r="BQ38" s="706">
        <f>IF(OR(HLOOKUP($AL38&amp;"a",[11]Feuil1!$A$27:$EP$48,18,FALSE)=FALSE,HLOOKUP($AL38&amp;"a",[11]Feuil1!$A$27:$EP$48,18,FALSE)=""),0,HLOOKUP($AL38&amp;"a",[11]Feuil1!$A$27:$EP$48,18,FALSE))</f>
        <v>0</v>
      </c>
      <c r="BR38" s="706">
        <f>IF(HLOOKUP($AL38&amp;"aa",[11]Feuil1!$A$27:$EP$48,18,FALSE)=FALSE,0,HLOOKUP($AL38&amp;"aa",[11]Feuil1!$A$27:$EP$48,18,FALSE))</f>
        <v>0</v>
      </c>
      <c r="BS38" s="707">
        <f t="shared" si="29"/>
        <v>6.967741935483871</v>
      </c>
      <c r="BT38" s="707">
        <f t="shared" si="30"/>
        <v>9.6896551724137936</v>
      </c>
      <c r="BU38" s="707">
        <f t="shared" si="31"/>
        <v>8.2833333333333332</v>
      </c>
      <c r="BV38" s="708">
        <f t="shared" ca="1" si="32"/>
        <v>34</v>
      </c>
      <c r="BW38" s="708">
        <f t="shared" ca="1" si="33"/>
        <v>29</v>
      </c>
      <c r="BX38" t="str">
        <f t="shared" si="34"/>
        <v>ROSZAK Martin</v>
      </c>
      <c r="BY38" s="709">
        <v>23</v>
      </c>
      <c r="BZ38" s="710" t="s">
        <v>581</v>
      </c>
      <c r="CA38" s="711" t="s">
        <v>584</v>
      </c>
      <c r="CB38" s="709">
        <v>8</v>
      </c>
      <c r="CC38" s="712" t="s">
        <v>585</v>
      </c>
      <c r="CD38" s="709" t="s">
        <v>586</v>
      </c>
      <c r="CE38" s="591" t="str">
        <f t="shared" si="35"/>
        <v>554.00</v>
      </c>
      <c r="CF38" s="561"/>
      <c r="CG38" s="561"/>
      <c r="CH38" s="561"/>
      <c r="CI38" s="714"/>
      <c r="CK38" s="715">
        <f t="shared" si="36"/>
        <v>19</v>
      </c>
      <c r="CL38" s="591">
        <f t="shared" si="17"/>
        <v>0</v>
      </c>
      <c r="CM38" s="716">
        <f t="shared" si="45"/>
        <v>-2.07000000000005</v>
      </c>
      <c r="CN38" s="716">
        <f t="shared" si="45"/>
        <v>19</v>
      </c>
      <c r="CO38" s="716">
        <f t="shared" si="45"/>
        <v>19</v>
      </c>
      <c r="CP38" s="716">
        <f t="shared" si="45"/>
        <v>7</v>
      </c>
      <c r="CQ38" s="716">
        <f t="shared" si="45"/>
        <v>2</v>
      </c>
      <c r="CR38" s="716">
        <f t="shared" si="45"/>
        <v>2</v>
      </c>
      <c r="CS38" s="716">
        <f t="shared" si="45"/>
        <v>2</v>
      </c>
      <c r="CT38" s="716">
        <f t="shared" si="45"/>
        <v>7</v>
      </c>
      <c r="CU38" s="716">
        <f t="shared" si="45"/>
        <v>-0.10000000000002274</v>
      </c>
      <c r="CV38" s="717" t="str">
        <f t="shared" si="37"/>
        <v>faux</v>
      </c>
      <c r="CW38" s="718">
        <f>IF(E38=0,"",VLOOKUP(B38,[10]liste!AU:BD,10,FALSE))</f>
        <v>2</v>
      </c>
      <c r="CX38" s="719">
        <f t="shared" si="19"/>
        <v>890.9</v>
      </c>
      <c r="CY38" s="720">
        <f t="shared" si="38"/>
        <v>8</v>
      </c>
      <c r="CZ38" s="719"/>
      <c r="DA38" s="719"/>
      <c r="DB38" s="719"/>
      <c r="DC38" s="722" t="str">
        <f t="shared" ca="1" si="20"/>
        <v/>
      </c>
      <c r="DE38" s="723">
        <f t="shared" si="21"/>
        <v>835.07</v>
      </c>
      <c r="DF38" s="723">
        <f t="shared" si="22"/>
        <v>890.9</v>
      </c>
      <c r="DG38" s="697" t="str">
        <f t="shared" si="23"/>
        <v>Cojean Youen</v>
      </c>
      <c r="DH38" s="724">
        <f t="shared" si="24"/>
        <v>3</v>
      </c>
      <c r="DI38" s="724">
        <f t="shared" si="39"/>
        <v>2</v>
      </c>
      <c r="DJ38" s="719">
        <f t="shared" si="25"/>
        <v>878</v>
      </c>
      <c r="DK38" s="719" t="str">
        <f t="shared" si="26"/>
        <v/>
      </c>
      <c r="DL38" s="719" t="str">
        <f t="shared" si="40"/>
        <v/>
      </c>
      <c r="DM38" s="719"/>
      <c r="DN38" s="719"/>
      <c r="DO38" s="719"/>
      <c r="DP38" s="720">
        <f t="shared" si="41"/>
        <v>8</v>
      </c>
      <c r="DQ38" s="591">
        <f ca="1">VLOOKUP(DG38,[10]résultats!$A$2:$DE$70,109,FALSE)</f>
        <v>34</v>
      </c>
      <c r="DR38" s="591">
        <f ca="1">VLOOKUP(DG38,[10]résultats!$A$2:$DG$70,111,FALSE)</f>
        <v>63</v>
      </c>
      <c r="DT38" s="591">
        <f t="shared" si="42"/>
        <v>22</v>
      </c>
      <c r="DU38" s="591">
        <f t="shared" si="43"/>
        <v>22</v>
      </c>
    </row>
    <row r="39" spans="1:125" s="554" customFormat="1" ht="23.1" customHeight="1" thickBot="1">
      <c r="A39" s="308">
        <f t="shared" si="9"/>
        <v>25</v>
      </c>
      <c r="B39" s="297" t="str">
        <f>IF(E39=0,"",VLOOKUP(E39,[10]liste!AM:AN,2,FALSE))</f>
        <v>Boulaire Emile</v>
      </c>
      <c r="C39" s="298">
        <f>IF(E39=0,"",VLOOKUP(B39,[10]liste!AN:AP,3,FALSE))</f>
        <v>8</v>
      </c>
      <c r="D39" s="691">
        <f t="shared" si="10"/>
        <v>8</v>
      </c>
      <c r="E39" s="692">
        <f>LARGE([10]liste!AM:AM,24)</f>
        <v>832.08</v>
      </c>
      <c r="F39" s="693">
        <v>845</v>
      </c>
      <c r="G39" s="693">
        <v>830</v>
      </c>
      <c r="H39" s="693">
        <v>830</v>
      </c>
      <c r="I39" s="692">
        <v>813</v>
      </c>
      <c r="J39" s="693">
        <v>809</v>
      </c>
      <c r="K39" s="693">
        <v>830</v>
      </c>
      <c r="L39" s="693">
        <v>822</v>
      </c>
      <c r="M39" s="692">
        <v>822</v>
      </c>
      <c r="N39" s="692">
        <v>821.9</v>
      </c>
      <c r="O39" s="694"/>
      <c r="P39" s="695">
        <f t="shared" ca="1" si="11"/>
        <v>-0.10000000000002274</v>
      </c>
      <c r="Q39" s="170">
        <f t="shared" si="12"/>
        <v>-10.180000000000064</v>
      </c>
      <c r="R39" s="696">
        <f ca="1">IF(U39&lt;MAX(U$16:U$81)/6.2,"NS",IF(B39="",0,VLOOKUP(B39,[10]résultats!AX:DH,63,FALSE)))</f>
        <v>0.50002106847103367</v>
      </c>
      <c r="S39" s="697" t="str">
        <f t="shared" si="13"/>
        <v>Boulaire Emile</v>
      </c>
      <c r="T39" s="171">
        <f t="shared" ca="1" si="14"/>
        <v>15</v>
      </c>
      <c r="U39" s="172">
        <f t="shared" ca="1" si="14"/>
        <v>30</v>
      </c>
      <c r="V39" s="292">
        <f ca="1">IF(B39="",0,HLOOKUP(B39&amp;"a",[11]Feuil1!$A$27:$FX$48,20,FALSE)+RAND()*0.0001)</f>
        <v>3.0000953895956055</v>
      </c>
      <c r="W39" s="293">
        <f ca="1">IF(B39="",0,HLOOKUP(B39&amp;"a",[11]Feuil1!$A$27:$FX$48,21,FALSE))+RAND()*0.0001</f>
        <v>5.000026046191766</v>
      </c>
      <c r="X39" s="725">
        <f t="shared" si="27"/>
        <v>803</v>
      </c>
      <c r="Y39" s="701">
        <f t="shared" si="15"/>
        <v>845</v>
      </c>
      <c r="Z39" s="743"/>
      <c r="AA39" s="733" t="str">
        <f>IF(AB39="","",[10]liste!R12&amp;" "&amp;[10]liste!O12&amp;" ans le ")</f>
        <v/>
      </c>
      <c r="AB39" s="300" t="str">
        <f>[10]liste!S12</f>
        <v/>
      </c>
      <c r="AC39" s="581"/>
      <c r="AD39" s="747" t="str">
        <f ca="1">IF(OR(MONTH(TODAY())=7,MONTH(TODAY())=8,MONTH(TODAY())=8),"",SUM([10]clt!Q3:Q64,[10]clt!AS3:AS64)+'[10]clt (2)'!Q67+'[10]clt (2)'!AS67&amp;" victoires et "&amp;[10]clt!Q66+[10]clt!AS66+'[10]clt (2)'!AS66+'[10]clt (2)'!Q66&amp;" matchs nuls sur "&amp;SUM([10]clt!R3:R64,[10]clt!AT3:AT64)+SUM('[10]clt (2)'!R3:R64)+SUM('[10]clt (2)'!AT3:AT64)&amp;" rencontres disputées .("&amp;ROUND((SUM([10]clt!Q3:Q64,[10]clt!AS3:AS64)+[10]clt!Q66+[10]clt!AS66+'[10]clt (2)'!Q66+'[10]clt (2)'!Q67+'[10]clt (2)'!AS66+'[10]clt (2)'!AS67)*100/SUM([10]clt!AT3:AT64,[10]clt!R3:R64,'[10]clt (2)'!R3:R64,'[10]clt (2)'!AT3:AT64),0)&amp;" %)")</f>
        <v>59 victoires et 10 matchs nuls sur 101 rencontres disputées .(68 %)</v>
      </c>
      <c r="AE39" s="748"/>
      <c r="AF39" s="749"/>
      <c r="AG39" s="750"/>
      <c r="AH39" s="750"/>
      <c r="AI39" s="751"/>
      <c r="AJ39" s="677"/>
      <c r="AK39" s="677">
        <f t="shared" si="28"/>
        <v>30</v>
      </c>
      <c r="AL39" s="705" t="str">
        <f t="shared" si="16"/>
        <v>Boulaire Emile</v>
      </c>
      <c r="AM39" s="706">
        <f>IF(OR(HLOOKUP($AL39&amp;"a",[11]Feuil1!$A$27:$EP$48,3,FALSE)=FALSE,HLOOKUP($AL39&amp;"a",[11]Feuil1!$A$27:$EP$48,3,FALSE)=""),0,HLOOKUP($AL39&amp;"a",[11]Feuil1!$A$27:$EP$48,3,FALSE))</f>
        <v>3</v>
      </c>
      <c r="AN39" s="706">
        <f>IF(HLOOKUP($AL39&amp;"aa",[11]Feuil1!$A$27:$EP$48,3,FALSE)=FALSE,0,HLOOKUP($AL39&amp;"aa",[11]Feuil1!$A$27:$EP$48,3,FALSE))</f>
        <v>0</v>
      </c>
      <c r="AO39" s="706">
        <f>IF(OR(HLOOKUP($AL39&amp;"a",[11]Feuil1!$A$27:$EP$48,4,FALSE)=FALSE,HLOOKUP($AL39&amp;"a",[11]Feuil1!$A$27:$EP$48,4,FALSE)=""),0,HLOOKUP($AL39&amp;"a",[11]Feuil1!$A$27:$EP$48,4,FALSE))</f>
        <v>5</v>
      </c>
      <c r="AP39" s="706">
        <f>IF(HLOOKUP($AL39&amp;"aa",[11]Feuil1!$A$27:$EP$48,4,FALSE)=FALSE,0,HLOOKUP($AL39&amp;"aa",[11]Feuil1!$A$27:$EP$48,4,FALSE))</f>
        <v>2</v>
      </c>
      <c r="AQ39" s="706">
        <f>IF(OR(HLOOKUP($AL39&amp;"a",[11]Feuil1!$A$27:$EP$48,5,FALSE)=FALSE,HLOOKUP($AL39&amp;"a",[11]Feuil1!$A$27:$EP$48,5,FALSE)=""),0,HLOOKUP($AL39&amp;"a",[11]Feuil1!$A$27:$EP$48,5,FALSE))</f>
        <v>3</v>
      </c>
      <c r="AR39" s="706">
        <f>IF(HLOOKUP($AL39&amp;"aa",[11]Feuil1!$A$27:$EP$48,5,FALSE)=FALSE,0,HLOOKUP($AL39&amp;"aa",[11]Feuil1!$A$27:$EP$48,5,FALSE))</f>
        <v>3</v>
      </c>
      <c r="AS39" s="706">
        <f>IF(OR(HLOOKUP($AL39&amp;"a",[11]Feuil1!$A$27:$EP$48,6,FALSE)=FALSE,HLOOKUP($AL39&amp;"a",[11]Feuil1!$A$27:$EP$48,6,FALSE)=""),0,HLOOKUP($AL39&amp;"a",[11]Feuil1!$A$27:$EP$48,6,FALSE))</f>
        <v>2</v>
      </c>
      <c r="AT39" s="706">
        <f>IF(HLOOKUP($AL39&amp;"aa",[11]Feuil1!$A$27:$EP$48,6,FALSE)=FALSE,0,HLOOKUP($AL39&amp;"aa",[11]Feuil1!$A$27:$EP$48,6,FALSE))</f>
        <v>1</v>
      </c>
      <c r="AU39" s="706">
        <f>IF(OR(HLOOKUP($AL39&amp;"a",[11]Feuil1!$A$27:$EP$48,7,FALSE)=FALSE,HLOOKUP($AL39&amp;"a",[11]Feuil1!$A$27:$EP$48,7,FALSE)=""),0,HLOOKUP($AL39&amp;"a",[11]Feuil1!$A$27:$EP$48,7,FALSE))</f>
        <v>0</v>
      </c>
      <c r="AV39" s="706">
        <f>IF(HLOOKUP($AL39&amp;"aa",[11]Feuil1!$A$27:$EP$48,7,FALSE)=FALSE,0,HLOOKUP($AL39&amp;"aa",[11]Feuil1!$A$27:$EP$48,7,FALSE))</f>
        <v>8</v>
      </c>
      <c r="AW39" s="706">
        <f>IF(OR(HLOOKUP($AL39&amp;"a",[11]Feuil1!$A$27:$EP$48,8,FALSE)=FALSE,HLOOKUP($AL39&amp;"a",[11]Feuil1!$A$27:$EP$48,8,FALSE)=""),0,HLOOKUP($AL39&amp;"a",[11]Feuil1!$A$27:$EP$48,8,FALSE))</f>
        <v>0</v>
      </c>
      <c r="AX39" s="706">
        <f>IF(HLOOKUP($AL39&amp;"aa",[11]Feuil1!$A$27:$EP$48,8,FALSE)=FALSE,0,HLOOKUP($AL39&amp;"aa",[11]Feuil1!$A$27:$EP$48,8,FALSE))</f>
        <v>2</v>
      </c>
      <c r="AY39" s="706">
        <f>IF(OR(HLOOKUP($AL39&amp;"a",[11]Feuil1!$A$27:$EP$48,9,FALSE)=FALSE,HLOOKUP($AL39&amp;"a",[11]Feuil1!$A$27:$EP$48,9,FALSE)=""),0,HLOOKUP($AL39&amp;"a",[11]Feuil1!$A$27:$EP$48,9,FALSE))</f>
        <v>1</v>
      </c>
      <c r="AZ39" s="706">
        <f>IF(HLOOKUP($AL39&amp;"aa",[11]Feuil1!$A$27:$EP$48,9,FALSE)=FALSE,0,HLOOKUP($AL39&amp;"aa",[11]Feuil1!$A$27:$EP$48,9,FALSE))</f>
        <v>0</v>
      </c>
      <c r="BA39" s="706">
        <f>IF(OR(HLOOKUP($AL39&amp;"a",[11]Feuil1!$A$27:$EP$48,10,FALSE)=FALSE,HLOOKUP($AL39&amp;"a",[11]Feuil1!$A$27:$EP$48,10,FALSE)=""),0,HLOOKUP($AL39&amp;"a",[11]Feuil1!$A$27:$EP$48,10,FALSE))</f>
        <v>0</v>
      </c>
      <c r="BB39" s="706">
        <f>IF(HLOOKUP($AL39&amp;"aa",[11]Feuil1!$A$27:$EP$48,10,FALSE)=FALSE,0,HLOOKUP($AL39&amp;"aa",[11]Feuil1!$A$27:$EP$48,10,FALSE))</f>
        <v>0</v>
      </c>
      <c r="BC39" s="706">
        <f>IF(OR(HLOOKUP($AL39&amp;"a",[11]Feuil1!$A$27:$EP$48,11,FALSE)=FALSE,HLOOKUP($AL39&amp;"a",[11]Feuil1!$A$27:$EP$48,11,FALSE)=""),0,HLOOKUP($AL39&amp;"a",[11]Feuil1!$A$27:$EP$48,11,FALSE))</f>
        <v>0</v>
      </c>
      <c r="BD39" s="706">
        <f>IF(HLOOKUP($AL39&amp;"aa",[11]Feuil1!$A$27:$EP$48,11,FALSE)=FALSE,0,HLOOKUP($AL39&amp;"aa",[11]Feuil1!$A$27:$EP$48,11,FALSE))</f>
        <v>0</v>
      </c>
      <c r="BE39" s="706">
        <f>IF(OR(HLOOKUP($AL39&amp;"a",[11]Feuil1!$A$27:$EP$48,12,FALSE)=FALSE,HLOOKUP($AL39&amp;"a",[11]Feuil1!$A$27:$EP$48,12,FALSE)=""),0,HLOOKUP($AL39&amp;"a",[11]Feuil1!$A$27:$EP$48,12,FALSE))</f>
        <v>0</v>
      </c>
      <c r="BF39" s="706">
        <f>IF(HLOOKUP($AL39&amp;"aa",[11]Feuil1!$A$27:$EP$48,12,FALSE)=FALSE,0,HLOOKUP($AL39&amp;"aa",[11]Feuil1!$A$27:$EP$48,12,FALSE))</f>
        <v>0</v>
      </c>
      <c r="BG39" s="706">
        <f>IF(OR(HLOOKUP($AL39&amp;"a",[11]Feuil1!$A$27:$EP$48,13,FALSE)=FALSE,HLOOKUP($AL39&amp;"a",[11]Feuil1!$A$27:$EP$48,13,FALSE)=""),0,HLOOKUP($AL39&amp;"a",[11]Feuil1!$A$27:$EP$48,13,FALSE))</f>
        <v>0</v>
      </c>
      <c r="BH39" s="706">
        <f>IF(HLOOKUP($AL39&amp;"aa",[11]Feuil1!$A$27:$EP$48,13,FALSE)=FALSE,0,HLOOKUP($AL39&amp;"aa",[11]Feuil1!$A$27:$EP$48,13,FALSE))</f>
        <v>0</v>
      </c>
      <c r="BI39" s="706">
        <f>IF(OR(HLOOKUP($AL39&amp;"a",[11]Feuil1!$A$27:$EP$48,14,FALSE)=FALSE,HLOOKUP($AL39&amp;"a",[11]Feuil1!$A$27:$EP$48,14,FALSE)=""),0,HLOOKUP($AL39&amp;"a",[11]Feuil1!$A$27:$EP$48,14,FALSE))</f>
        <v>0</v>
      </c>
      <c r="BJ39" s="706">
        <f>IF(HLOOKUP($AL39&amp;"aa",[11]Feuil1!$A$27:$EP$48,14,FALSE)=FALSE,0,HLOOKUP($AL39&amp;"aa",[11]Feuil1!$A$27:$EP$48,14,FALSE))</f>
        <v>0</v>
      </c>
      <c r="BK39" s="706">
        <f>IF(OR(HLOOKUP($AL39&amp;"a",[11]Feuil1!$A$27:$EP$48,15,FALSE)=FALSE,HLOOKUP($AL39&amp;"a",[11]Feuil1!$A$27:$EP$48,15,FALSE)=""),0,HLOOKUP($AL39&amp;"a",[11]Feuil1!$A$27:$EP$48,15,FALSE))</f>
        <v>0</v>
      </c>
      <c r="BL39" s="706">
        <f>IF(HLOOKUP($AL39&amp;"aa",[11]Feuil1!$A$27:$EP$48,15,FALSE)=FALSE,0,HLOOKUP($AL39&amp;"aa",[11]Feuil1!$A$27:$EP$48,15,FALSE))</f>
        <v>0</v>
      </c>
      <c r="BM39" s="706">
        <f>IF(OR(HLOOKUP($AL39&amp;"a",[11]Feuil1!$A$27:$EP$48,16,FALSE)=FALSE,HLOOKUP($AL39&amp;"a",[11]Feuil1!$A$27:$EP$48,16,FALSE)=""),0,HLOOKUP($AL39&amp;"a",[11]Feuil1!$A$27:$EP$48,16,FALSE))</f>
        <v>0</v>
      </c>
      <c r="BN39" s="706">
        <f>IF(HLOOKUP($AL39&amp;"aa",[11]Feuil1!$A$27:$EP$48,16,FALSE)=FALSE,0,HLOOKUP($AL39&amp;"aa",[11]Feuil1!$A$27:$EP$48,16,FALSE))</f>
        <v>0</v>
      </c>
      <c r="BO39" s="706">
        <f>IF(OR(HLOOKUP($AL39&amp;"a",[11]Feuil1!$A$27:$EP$48,17,FALSE)=FALSE,HLOOKUP($AL39&amp;"a",[11]Feuil1!$A$27:$EP$48,17,FALSE)=""),0,HLOOKUP($AL39&amp;"a",[11]Feuil1!$A$27:$EP$48,17,FALSE))</f>
        <v>0</v>
      </c>
      <c r="BP39" s="706">
        <f>IF(HLOOKUP($AL39&amp;"aa",[11]Feuil1!$A$27:$EP$48,17,FALSE)=FALSE,0,HLOOKUP($AL39&amp;"aa",[11]Feuil1!$A$27:$EP$48,17,FALSE))</f>
        <v>0</v>
      </c>
      <c r="BQ39" s="706">
        <f>IF(OR(HLOOKUP($AL39&amp;"a",[11]Feuil1!$A$27:$EP$48,18,FALSE)=FALSE,HLOOKUP($AL39&amp;"a",[11]Feuil1!$A$27:$EP$48,18,FALSE)=""),0,HLOOKUP($AL39&amp;"a",[11]Feuil1!$A$27:$EP$48,18,FALSE))</f>
        <v>0</v>
      </c>
      <c r="BR39" s="706">
        <f>IF(HLOOKUP($AL39&amp;"aa",[11]Feuil1!$A$27:$EP$48,18,FALSE)=FALSE,0,HLOOKUP($AL39&amp;"aa",[11]Feuil1!$A$27:$EP$48,18,FALSE))</f>
        <v>0</v>
      </c>
      <c r="BS39" s="707">
        <f t="shared" si="29"/>
        <v>6.6428571428571432</v>
      </c>
      <c r="BT39" s="707">
        <f t="shared" si="30"/>
        <v>8.3125</v>
      </c>
      <c r="BU39" s="707">
        <f t="shared" si="31"/>
        <v>7.5333333333333332</v>
      </c>
      <c r="BV39" s="708">
        <f t="shared" ca="1" si="32"/>
        <v>15</v>
      </c>
      <c r="BW39" s="708">
        <f t="shared" ca="1" si="33"/>
        <v>15</v>
      </c>
      <c r="BX39" t="str">
        <f t="shared" si="34"/>
        <v>ROUSSEAU Bertrand</v>
      </c>
      <c r="BY39" s="726">
        <v>24</v>
      </c>
      <c r="BZ39" s="727" t="s">
        <v>587</v>
      </c>
      <c r="CA39" s="728" t="s">
        <v>588</v>
      </c>
      <c r="CB39" s="726">
        <v>5</v>
      </c>
      <c r="CC39" s="729" t="s">
        <v>531</v>
      </c>
      <c r="CD39" s="726" t="s">
        <v>517</v>
      </c>
      <c r="CE39" s="591" t="str">
        <f t="shared" si="35"/>
        <v>739.00</v>
      </c>
      <c r="CF39" s="561"/>
      <c r="CG39" s="561"/>
      <c r="CH39" s="561"/>
      <c r="CI39" s="714"/>
      <c r="CK39" s="715">
        <f t="shared" si="36"/>
        <v>21</v>
      </c>
      <c r="CL39" s="591">
        <f t="shared" si="17"/>
        <v>0</v>
      </c>
      <c r="CM39" s="716">
        <f t="shared" si="45"/>
        <v>12.919999999999959</v>
      </c>
      <c r="CN39" s="716">
        <f t="shared" si="45"/>
        <v>-15</v>
      </c>
      <c r="CO39" s="716">
        <f t="shared" si="45"/>
        <v>0</v>
      </c>
      <c r="CP39" s="716">
        <f t="shared" si="45"/>
        <v>-17</v>
      </c>
      <c r="CQ39" s="716">
        <f t="shared" si="45"/>
        <v>-4</v>
      </c>
      <c r="CR39" s="716">
        <f t="shared" si="45"/>
        <v>21</v>
      </c>
      <c r="CS39" s="716">
        <f t="shared" si="45"/>
        <v>-8</v>
      </c>
      <c r="CT39" s="716">
        <f t="shared" si="45"/>
        <v>0</v>
      </c>
      <c r="CU39" s="716">
        <f t="shared" si="45"/>
        <v>-0.10000000000002274</v>
      </c>
      <c r="CV39" s="717" t="str">
        <f t="shared" si="37"/>
        <v>faux</v>
      </c>
      <c r="CW39" s="718">
        <f>IF(E39=0,"",VLOOKUP(B39,[10]liste!AU:BD,10,FALSE))</f>
        <v>2</v>
      </c>
      <c r="CX39" s="719">
        <f t="shared" si="19"/>
        <v>821.9</v>
      </c>
      <c r="CY39" s="720">
        <f t="shared" si="38"/>
        <v>8</v>
      </c>
      <c r="CZ39" s="719"/>
      <c r="DA39" s="719"/>
      <c r="DB39" s="719"/>
      <c r="DC39" s="722" t="str">
        <f t="shared" ca="1" si="20"/>
        <v/>
      </c>
      <c r="DE39" s="723">
        <f t="shared" si="21"/>
        <v>832.08</v>
      </c>
      <c r="DF39" s="723">
        <f t="shared" si="22"/>
        <v>821.9</v>
      </c>
      <c r="DG39" s="697" t="str">
        <f t="shared" si="23"/>
        <v>Boulaire Emile</v>
      </c>
      <c r="DH39" s="724">
        <f t="shared" si="24"/>
        <v>1</v>
      </c>
      <c r="DI39" s="724">
        <f t="shared" si="39"/>
        <v>2</v>
      </c>
      <c r="DJ39" s="719">
        <f t="shared" si="25"/>
        <v>813</v>
      </c>
      <c r="DK39" s="719" t="str">
        <f t="shared" si="26"/>
        <v/>
      </c>
      <c r="DL39" s="719" t="str">
        <f t="shared" si="40"/>
        <v/>
      </c>
      <c r="DM39" s="719"/>
      <c r="DN39" s="719"/>
      <c r="DO39" s="719"/>
      <c r="DP39" s="720">
        <f t="shared" si="41"/>
        <v>8</v>
      </c>
      <c r="DQ39" s="591">
        <f ca="1">VLOOKUP(DG39,[10]résultats!$A$2:$DE$70,109,FALSE)</f>
        <v>15</v>
      </c>
      <c r="DR39" s="591">
        <f ca="1">VLOOKUP(DG39,[10]résultats!$A$2:$DG$70,111,FALSE)</f>
        <v>30</v>
      </c>
      <c r="DT39" s="591">
        <f t="shared" si="42"/>
        <v>24</v>
      </c>
      <c r="DU39" s="591">
        <f t="shared" si="43"/>
        <v>26</v>
      </c>
    </row>
    <row r="40" spans="1:125" s="554" customFormat="1" ht="23.1" customHeight="1">
      <c r="A40" s="308">
        <f t="shared" si="9"/>
        <v>24</v>
      </c>
      <c r="B40" s="297" t="str">
        <f>IF(E40=0,"",VLOOKUP(E40,[10]liste!AM:AN,2,FALSE))</f>
        <v>Mierzwa Julien</v>
      </c>
      <c r="C40" s="298">
        <f>IF(E40=0,"",VLOOKUP(B40,[10]liste!AN:AP,3,FALSE))</f>
        <v>7</v>
      </c>
      <c r="D40" s="691">
        <f t="shared" si="10"/>
        <v>8</v>
      </c>
      <c r="E40" s="692">
        <f>LARGE([10]liste!AM:AM,25)</f>
        <v>787.07500000000005</v>
      </c>
      <c r="F40" s="693">
        <v>787</v>
      </c>
      <c r="G40" s="693">
        <v>817</v>
      </c>
      <c r="H40" s="693">
        <v>819</v>
      </c>
      <c r="I40" s="692">
        <v>801</v>
      </c>
      <c r="J40" s="693">
        <v>816</v>
      </c>
      <c r="K40" s="693">
        <v>843</v>
      </c>
      <c r="L40" s="693">
        <v>845</v>
      </c>
      <c r="M40" s="692">
        <v>824</v>
      </c>
      <c r="N40" s="692">
        <v>824.1</v>
      </c>
      <c r="O40" s="694"/>
      <c r="P40" s="695">
        <f t="shared" ca="1" si="11"/>
        <v>0.10000000000002274</v>
      </c>
      <c r="Q40" s="170">
        <f t="shared" si="12"/>
        <v>37.024999999999977</v>
      </c>
      <c r="R40" s="696">
        <f ca="1">IF(U40&lt;MAX(U$16:U$81)/6.2,"NS",IF(B40="",0,VLOOKUP(B40,[10]résultats!AX:DH,63,FALSE)))</f>
        <v>0.36671054629694716</v>
      </c>
      <c r="S40" s="697" t="str">
        <f t="shared" si="13"/>
        <v>Mierzwa Julien</v>
      </c>
      <c r="T40" s="171">
        <f t="shared" ca="1" si="14"/>
        <v>11</v>
      </c>
      <c r="U40" s="172">
        <f t="shared" ca="1" si="14"/>
        <v>30</v>
      </c>
      <c r="V40" s="292">
        <f ca="1">IF(B40="",0,HLOOKUP(B40&amp;"a",[11]Feuil1!$A$27:$FX$48,20,FALSE)+RAND()*0.0001)</f>
        <v>6.0000314821819485</v>
      </c>
      <c r="W40" s="293">
        <f ca="1">IF(B40="",0,HLOOKUP(B40&amp;"a",[11]Feuil1!$A$27:$FX$48,21,FALSE))+RAND()*0.0001</f>
        <v>3.0000247689434376</v>
      </c>
      <c r="X40" s="725">
        <f t="shared" si="27"/>
        <v>963</v>
      </c>
      <c r="Y40" s="701">
        <f t="shared" si="15"/>
        <v>845</v>
      </c>
      <c r="Z40" s="1170" t="s">
        <v>589</v>
      </c>
      <c r="AA40" s="1173" t="s">
        <v>590</v>
      </c>
      <c r="AB40" s="1174"/>
      <c r="AC40" s="581"/>
      <c r="AD40" s="752" t="str">
        <f ca="1">IF(OR(MONTH(TODAY())=7,MONTH(TODAY())=8,MONTH(TODAY())=9),"",IF(SUM([10]résultats!DE:DE)=0,"",SUM([10]résultats!AL2:AL70)+[10]Critérium!C48&amp;" victoires sur "&amp;SUM([10]résultats!AM2:AM70)+[10]Critérium!D48&amp;" simples disputés ("&amp;ROUND((SUM([10]résultats!AL2:AL70)+[10]Critérium!C48)*100/(SUM([10]résultats!AM2:AM70)+[10]Critérium!D48),1)&amp;" %)"))</f>
        <v>748 victoires sur 1305 simples disputés (57,3 %)</v>
      </c>
      <c r="AE40" s="753"/>
      <c r="AF40" s="754"/>
      <c r="AG40" s="755"/>
      <c r="AH40" s="755"/>
      <c r="AI40" s="756"/>
      <c r="AJ40" s="677"/>
      <c r="AK40" s="677">
        <f t="shared" si="28"/>
        <v>30</v>
      </c>
      <c r="AL40" s="705" t="str">
        <f t="shared" si="16"/>
        <v>Mierzwa Julien</v>
      </c>
      <c r="AM40" s="706">
        <f>IF(OR(HLOOKUP($AL40&amp;"a",[11]Feuil1!$A$27:$EP$48,3,FALSE)=FALSE,HLOOKUP($AL40&amp;"a",[11]Feuil1!$A$27:$EP$48,3,FALSE)=""),0,HLOOKUP($AL40&amp;"a",[11]Feuil1!$A$27:$EP$48,3,FALSE))</f>
        <v>2</v>
      </c>
      <c r="AN40" s="706">
        <f>IF(HLOOKUP($AL40&amp;"aa",[11]Feuil1!$A$27:$EP$48,3,FALSE)=FALSE,0,HLOOKUP($AL40&amp;"aa",[11]Feuil1!$A$27:$EP$48,3,FALSE))</f>
        <v>1</v>
      </c>
      <c r="AO40" s="706">
        <f>IF(OR(HLOOKUP($AL40&amp;"a",[11]Feuil1!$A$27:$EP$48,4,FALSE)=FALSE,HLOOKUP($AL40&amp;"a",[11]Feuil1!$A$27:$EP$48,4,FALSE)=""),0,HLOOKUP($AL40&amp;"a",[11]Feuil1!$A$27:$EP$48,4,FALSE))</f>
        <v>0</v>
      </c>
      <c r="AP40" s="706">
        <f>IF(HLOOKUP($AL40&amp;"aa",[11]Feuil1!$A$27:$EP$48,4,FALSE)=FALSE,0,HLOOKUP($AL40&amp;"aa",[11]Feuil1!$A$27:$EP$48,4,FALSE))</f>
        <v>1</v>
      </c>
      <c r="AQ40" s="706">
        <f>IF(OR(HLOOKUP($AL40&amp;"a",[11]Feuil1!$A$27:$EP$48,5,FALSE)=FALSE,HLOOKUP($AL40&amp;"a",[11]Feuil1!$A$27:$EP$48,5,FALSE)=""),0,HLOOKUP($AL40&amp;"a",[11]Feuil1!$A$27:$EP$48,5,FALSE))</f>
        <v>3</v>
      </c>
      <c r="AR40" s="706">
        <f>IF(HLOOKUP($AL40&amp;"aa",[11]Feuil1!$A$27:$EP$48,5,FALSE)=FALSE,0,HLOOKUP($AL40&amp;"aa",[11]Feuil1!$A$27:$EP$48,5,FALSE))</f>
        <v>1</v>
      </c>
      <c r="AS40" s="706">
        <f>IF(OR(HLOOKUP($AL40&amp;"a",[11]Feuil1!$A$27:$EP$48,6,FALSE)=FALSE,HLOOKUP($AL40&amp;"a",[11]Feuil1!$A$27:$EP$48,6,FALSE)=""),0,HLOOKUP($AL40&amp;"a",[11]Feuil1!$A$27:$EP$48,6,FALSE))</f>
        <v>1</v>
      </c>
      <c r="AT40" s="706">
        <f>IF(HLOOKUP($AL40&amp;"aa",[11]Feuil1!$A$27:$EP$48,6,FALSE)=FALSE,0,HLOOKUP($AL40&amp;"aa",[11]Feuil1!$A$27:$EP$48,6,FALSE))</f>
        <v>1</v>
      </c>
      <c r="AU40" s="706">
        <f>IF(OR(HLOOKUP($AL40&amp;"a",[11]Feuil1!$A$27:$EP$48,7,FALSE)=FALSE,HLOOKUP($AL40&amp;"a",[11]Feuil1!$A$27:$EP$48,7,FALSE)=""),0,HLOOKUP($AL40&amp;"a",[11]Feuil1!$A$27:$EP$48,7,FALSE))</f>
        <v>3</v>
      </c>
      <c r="AV40" s="706">
        <f>IF(HLOOKUP($AL40&amp;"aa",[11]Feuil1!$A$27:$EP$48,7,FALSE)=FALSE,0,HLOOKUP($AL40&amp;"aa",[11]Feuil1!$A$27:$EP$48,7,FALSE))</f>
        <v>2</v>
      </c>
      <c r="AW40" s="706">
        <f>IF(OR(HLOOKUP($AL40&amp;"a",[11]Feuil1!$A$27:$EP$48,8,FALSE)=FALSE,HLOOKUP($AL40&amp;"a",[11]Feuil1!$A$27:$EP$48,8,FALSE)=""),0,HLOOKUP($AL40&amp;"a",[11]Feuil1!$A$27:$EP$48,8,FALSE))</f>
        <v>2</v>
      </c>
      <c r="AX40" s="706">
        <f>IF(HLOOKUP($AL40&amp;"aa",[11]Feuil1!$A$27:$EP$48,8,FALSE)=FALSE,0,HLOOKUP($AL40&amp;"aa",[11]Feuil1!$A$27:$EP$48,8,FALSE))</f>
        <v>7</v>
      </c>
      <c r="AY40" s="706">
        <f>IF(OR(HLOOKUP($AL40&amp;"a",[11]Feuil1!$A$27:$EP$48,9,FALSE)=FALSE,HLOOKUP($AL40&amp;"a",[11]Feuil1!$A$27:$EP$48,9,FALSE)=""),0,HLOOKUP($AL40&amp;"a",[11]Feuil1!$A$27:$EP$48,9,FALSE))</f>
        <v>0</v>
      </c>
      <c r="AZ40" s="706">
        <f>IF(HLOOKUP($AL40&amp;"aa",[11]Feuil1!$A$27:$EP$48,9,FALSE)=FALSE,0,HLOOKUP($AL40&amp;"aa",[11]Feuil1!$A$27:$EP$48,9,FALSE))</f>
        <v>2</v>
      </c>
      <c r="BA40" s="706">
        <f>IF(OR(HLOOKUP($AL40&amp;"a",[11]Feuil1!$A$27:$EP$48,10,FALSE)=FALSE,HLOOKUP($AL40&amp;"a",[11]Feuil1!$A$27:$EP$48,10,FALSE)=""),0,HLOOKUP($AL40&amp;"a",[11]Feuil1!$A$27:$EP$48,10,FALSE))</f>
        <v>0</v>
      </c>
      <c r="BB40" s="706">
        <f>IF(HLOOKUP($AL40&amp;"aa",[11]Feuil1!$A$27:$EP$48,10,FALSE)=FALSE,0,HLOOKUP($AL40&amp;"aa",[11]Feuil1!$A$27:$EP$48,10,FALSE))</f>
        <v>3</v>
      </c>
      <c r="BC40" s="706">
        <f>IF(OR(HLOOKUP($AL40&amp;"a",[11]Feuil1!$A$27:$EP$48,11,FALSE)=FALSE,HLOOKUP($AL40&amp;"a",[11]Feuil1!$A$27:$EP$48,11,FALSE)=""),0,HLOOKUP($AL40&amp;"a",[11]Feuil1!$A$27:$EP$48,11,FALSE))</f>
        <v>0</v>
      </c>
      <c r="BD40" s="706">
        <f>IF(HLOOKUP($AL40&amp;"aa",[11]Feuil1!$A$27:$EP$48,11,FALSE)=FALSE,0,HLOOKUP($AL40&amp;"aa",[11]Feuil1!$A$27:$EP$48,11,FALSE))</f>
        <v>0</v>
      </c>
      <c r="BE40" s="706">
        <f>IF(OR(HLOOKUP($AL40&amp;"a",[11]Feuil1!$A$27:$EP$48,12,FALSE)=FALSE,HLOOKUP($AL40&amp;"a",[11]Feuil1!$A$27:$EP$48,12,FALSE)=""),0,HLOOKUP($AL40&amp;"a",[11]Feuil1!$A$27:$EP$48,12,FALSE))</f>
        <v>0</v>
      </c>
      <c r="BF40" s="706">
        <f>IF(HLOOKUP($AL40&amp;"aa",[11]Feuil1!$A$27:$EP$48,12,FALSE)=FALSE,0,HLOOKUP($AL40&amp;"aa",[11]Feuil1!$A$27:$EP$48,12,FALSE))</f>
        <v>0</v>
      </c>
      <c r="BG40" s="706">
        <f>IF(OR(HLOOKUP($AL40&amp;"a",[11]Feuil1!$A$27:$EP$48,13,FALSE)=FALSE,HLOOKUP($AL40&amp;"a",[11]Feuil1!$A$27:$EP$48,13,FALSE)=""),0,HLOOKUP($AL40&amp;"a",[11]Feuil1!$A$27:$EP$48,13,FALSE))</f>
        <v>0</v>
      </c>
      <c r="BH40" s="706">
        <f>IF(HLOOKUP($AL40&amp;"aa",[11]Feuil1!$A$27:$EP$48,13,FALSE)=FALSE,0,HLOOKUP($AL40&amp;"aa",[11]Feuil1!$A$27:$EP$48,13,FALSE))</f>
        <v>0</v>
      </c>
      <c r="BI40" s="706">
        <f>IF(OR(HLOOKUP($AL40&amp;"a",[11]Feuil1!$A$27:$EP$48,14,FALSE)=FALSE,HLOOKUP($AL40&amp;"a",[11]Feuil1!$A$27:$EP$48,14,FALSE)=""),0,HLOOKUP($AL40&amp;"a",[11]Feuil1!$A$27:$EP$48,14,FALSE))</f>
        <v>0</v>
      </c>
      <c r="BJ40" s="706">
        <f>IF(HLOOKUP($AL40&amp;"aa",[11]Feuil1!$A$27:$EP$48,14,FALSE)=FALSE,0,HLOOKUP($AL40&amp;"aa",[11]Feuil1!$A$27:$EP$48,14,FALSE))</f>
        <v>1</v>
      </c>
      <c r="BK40" s="706">
        <f>IF(OR(HLOOKUP($AL40&amp;"a",[11]Feuil1!$A$27:$EP$48,15,FALSE)=FALSE,HLOOKUP($AL40&amp;"a",[11]Feuil1!$A$27:$EP$48,15,FALSE)=""),0,HLOOKUP($AL40&amp;"a",[11]Feuil1!$A$27:$EP$48,15,FALSE))</f>
        <v>0</v>
      </c>
      <c r="BL40" s="706">
        <f>IF(HLOOKUP($AL40&amp;"aa",[11]Feuil1!$A$27:$EP$48,15,FALSE)=FALSE,0,HLOOKUP($AL40&amp;"aa",[11]Feuil1!$A$27:$EP$48,15,FALSE))</f>
        <v>0</v>
      </c>
      <c r="BM40" s="706">
        <f>IF(OR(HLOOKUP($AL40&amp;"a",[11]Feuil1!$A$27:$EP$48,16,FALSE)=FALSE,HLOOKUP($AL40&amp;"a",[11]Feuil1!$A$27:$EP$48,16,FALSE)=""),0,HLOOKUP($AL40&amp;"a",[11]Feuil1!$A$27:$EP$48,16,FALSE))</f>
        <v>0</v>
      </c>
      <c r="BN40" s="706">
        <f>IF(HLOOKUP($AL40&amp;"aa",[11]Feuil1!$A$27:$EP$48,16,FALSE)=FALSE,0,HLOOKUP($AL40&amp;"aa",[11]Feuil1!$A$27:$EP$48,16,FALSE))</f>
        <v>0</v>
      </c>
      <c r="BO40" s="706">
        <f>IF(OR(HLOOKUP($AL40&amp;"a",[11]Feuil1!$A$27:$EP$48,17,FALSE)=FALSE,HLOOKUP($AL40&amp;"a",[11]Feuil1!$A$27:$EP$48,17,FALSE)=""),0,HLOOKUP($AL40&amp;"a",[11]Feuil1!$A$27:$EP$48,17,FALSE))</f>
        <v>0</v>
      </c>
      <c r="BP40" s="706">
        <f>IF(HLOOKUP($AL40&amp;"aa",[11]Feuil1!$A$27:$EP$48,17,FALSE)=FALSE,0,HLOOKUP($AL40&amp;"aa",[11]Feuil1!$A$27:$EP$48,17,FALSE))</f>
        <v>0</v>
      </c>
      <c r="BQ40" s="706">
        <f>IF(OR(HLOOKUP($AL40&amp;"a",[11]Feuil1!$A$27:$EP$48,18,FALSE)=FALSE,HLOOKUP($AL40&amp;"a",[11]Feuil1!$A$27:$EP$48,18,FALSE)=""),0,HLOOKUP($AL40&amp;"a",[11]Feuil1!$A$27:$EP$48,18,FALSE))</f>
        <v>0</v>
      </c>
      <c r="BR40" s="706">
        <f>IF(HLOOKUP($AL40&amp;"aa",[11]Feuil1!$A$27:$EP$48,18,FALSE)=FALSE,0,HLOOKUP($AL40&amp;"aa",[11]Feuil1!$A$27:$EP$48,18,FALSE))</f>
        <v>0</v>
      </c>
      <c r="BS40" s="707">
        <f>IF(AM40+AO40+AQ40+AS40+AU40+AW40+AY40+BA40+BC40+BE40+BG40+BI40+BK40+BM40+BO40+BQ40=0,BU40,IF(AK40=0,0,(AM40*AM$15+AO40*AO$15+AQ40*AQ$15+AS40*AS$15+AU40*AU$15+AW40*AW$15+AY40*AY$15+BA40*BA$15+BC40*BC$15+BE40*BE$15+BG40*BG$15+BI40*BI$15+BK40*BK$15+BM40*BM$15+BO40*BO$15+BQ40*BQ$15)/(AM40+AO40+AQ40+AS40+AU40+AW40+AY40+BA40+BC40+BE40+BG40+BI40+BK40+BM40+BO40)))</f>
        <v>7.8181818181818183</v>
      </c>
      <c r="BT40" s="707">
        <f t="shared" si="30"/>
        <v>9.8947368421052637</v>
      </c>
      <c r="BU40" s="707">
        <f>IF(AK40=0,0,(AM40*AM$15+AN40*AM$15+AP40*AO$15+AR40*AQ$15+AT40*AS$15+AV40*AU$15+AX40*AW$15+AZ40*AY$15+BB40*BA$15+BD40*BC$15+BF40*BE$15+BH40*BG$15+BJ40*BI$15+BL40*BK$15+BN40*BM$15+AO40*AO$15+AQ40*AQ$15+AS40*AS$15+AU40*AU$15+AW40*AW$15+AY40*AY$15+BA40*BA$15+BC40*BC$15+BE40*BE$15+BG40*BG$15+BI40*BI$15+BK40*BK$15+BM40*BM$15+BO40*BO$15+BP40*BO$15+BQ40*BQ$15+BR40*BQ$15)/AK40)</f>
        <v>9.1333333333333329</v>
      </c>
      <c r="BV40" s="708">
        <f t="shared" ca="1" si="32"/>
        <v>11</v>
      </c>
      <c r="BW40" s="708">
        <f t="shared" ca="1" si="33"/>
        <v>19</v>
      </c>
      <c r="BX40" t="str">
        <f t="shared" si="34"/>
        <v>SAVARY Paulin</v>
      </c>
      <c r="BY40" s="709">
        <v>25</v>
      </c>
      <c r="BZ40" s="710" t="s">
        <v>591</v>
      </c>
      <c r="CA40" s="711" t="s">
        <v>592</v>
      </c>
      <c r="CB40" s="709">
        <v>5</v>
      </c>
      <c r="CC40" s="712" t="s">
        <v>531</v>
      </c>
      <c r="CD40" s="709" t="s">
        <v>532</v>
      </c>
      <c r="CE40" s="591" t="e">
        <f t="shared" si="35"/>
        <v>#N/A</v>
      </c>
      <c r="CF40" s="561"/>
      <c r="CG40" s="561"/>
      <c r="CH40" s="561"/>
      <c r="CI40" s="714"/>
      <c r="CK40" s="715">
        <f t="shared" si="36"/>
        <v>30</v>
      </c>
      <c r="CL40" s="591">
        <f t="shared" si="17"/>
        <v>2</v>
      </c>
      <c r="CM40" s="716">
        <f t="shared" si="45"/>
        <v>-7.5000000000045475E-2</v>
      </c>
      <c r="CN40" s="716">
        <f t="shared" si="45"/>
        <v>30</v>
      </c>
      <c r="CO40" s="716">
        <f t="shared" si="45"/>
        <v>2</v>
      </c>
      <c r="CP40" s="716">
        <f t="shared" si="45"/>
        <v>-18</v>
      </c>
      <c r="CQ40" s="716">
        <f t="shared" si="45"/>
        <v>15</v>
      </c>
      <c r="CR40" s="716">
        <f t="shared" si="45"/>
        <v>27</v>
      </c>
      <c r="CS40" s="716">
        <f t="shared" si="45"/>
        <v>2</v>
      </c>
      <c r="CT40" s="716">
        <f t="shared" si="45"/>
        <v>-21</v>
      </c>
      <c r="CU40" s="716">
        <f t="shared" si="45"/>
        <v>0.10000000000002274</v>
      </c>
      <c r="CV40" s="717" t="str">
        <f t="shared" si="37"/>
        <v>faux</v>
      </c>
      <c r="CW40" s="718">
        <f>IF(E40=0,"",VLOOKUP(B40,[10]liste!AU:BD,10,FALSE))</f>
        <v>2</v>
      </c>
      <c r="CX40" s="719">
        <f t="shared" si="19"/>
        <v>824.1</v>
      </c>
      <c r="CY40" s="720">
        <f t="shared" si="38"/>
        <v>8</v>
      </c>
      <c r="CZ40" s="719"/>
      <c r="DA40" s="719"/>
      <c r="DB40" s="719"/>
      <c r="DC40" s="722" t="str">
        <f t="shared" ca="1" si="20"/>
        <v/>
      </c>
      <c r="DE40" s="723">
        <f t="shared" si="21"/>
        <v>787.07500000000005</v>
      </c>
      <c r="DF40" s="723">
        <f t="shared" si="22"/>
        <v>824.1</v>
      </c>
      <c r="DG40" s="697" t="str">
        <f t="shared" si="23"/>
        <v>Mierzwa Julien</v>
      </c>
      <c r="DH40" s="724">
        <f t="shared" si="24"/>
        <v>3</v>
      </c>
      <c r="DI40" s="724">
        <f t="shared" si="39"/>
        <v>2</v>
      </c>
      <c r="DJ40" s="719">
        <f t="shared" si="25"/>
        <v>801</v>
      </c>
      <c r="DK40" s="719" t="str">
        <f t="shared" si="26"/>
        <v/>
      </c>
      <c r="DL40" s="719" t="str">
        <f t="shared" si="40"/>
        <v/>
      </c>
      <c r="DM40" s="719"/>
      <c r="DN40" s="719"/>
      <c r="DO40" s="719"/>
      <c r="DP40" s="720">
        <f t="shared" si="41"/>
        <v>8</v>
      </c>
      <c r="DQ40" s="591">
        <f ca="1">VLOOKUP(DG40,[10]résultats!$A$2:$DE$70,109,FALSE)</f>
        <v>11</v>
      </c>
      <c r="DR40" s="591">
        <f ca="1">VLOOKUP(DG40,[10]résultats!$A$2:$DG$70,111,FALSE)</f>
        <v>30</v>
      </c>
      <c r="DT40" s="591">
        <f t="shared" si="42"/>
        <v>25</v>
      </c>
      <c r="DU40" s="591">
        <f t="shared" si="43"/>
        <v>25</v>
      </c>
    </row>
    <row r="41" spans="1:125" s="554" customFormat="1" ht="23.1" customHeight="1">
      <c r="A41" s="308">
        <f t="shared" si="9"/>
        <v>30</v>
      </c>
      <c r="B41" s="297" t="str">
        <f>IF(E41=0,"",VLOOKUP(E41,[10]liste!AM:AN,2,FALSE))</f>
        <v>Bousseau Yannick</v>
      </c>
      <c r="C41" s="298">
        <f>IF(E41=0,"",VLOOKUP(B41,[10]liste!AN:AP,3,FALSE))</f>
        <v>7</v>
      </c>
      <c r="D41" s="691">
        <f t="shared" si="10"/>
        <v>6</v>
      </c>
      <c r="E41" s="692">
        <f>LARGE([10]liste!AM:AM,26)</f>
        <v>736.07299999999998</v>
      </c>
      <c r="F41" s="693">
        <v>736</v>
      </c>
      <c r="G41" s="693">
        <v>754</v>
      </c>
      <c r="H41" s="693">
        <v>771</v>
      </c>
      <c r="I41" s="692">
        <v>769</v>
      </c>
      <c r="J41" s="693">
        <v>753</v>
      </c>
      <c r="K41" s="693">
        <v>741</v>
      </c>
      <c r="L41" s="693">
        <v>688</v>
      </c>
      <c r="M41" s="692">
        <v>681</v>
      </c>
      <c r="N41" s="692">
        <v>681</v>
      </c>
      <c r="O41" s="694"/>
      <c r="P41" s="695">
        <f t="shared" ca="1" si="11"/>
        <v>0</v>
      </c>
      <c r="Q41" s="170">
        <f t="shared" si="12"/>
        <v>-55.072999999999979</v>
      </c>
      <c r="R41" s="696">
        <f ca="1">IF(U41&lt;MAX(U$16:U$81)/6.2,"NS",IF(B41="",0,VLOOKUP(B41,[10]résultats!AX:DH,63,FALSE)))</f>
        <v>0.44453131366852205</v>
      </c>
      <c r="S41" s="697" t="str">
        <f t="shared" si="13"/>
        <v>Bousseau Yannick</v>
      </c>
      <c r="T41" s="171">
        <f t="shared" ca="1" si="14"/>
        <v>16</v>
      </c>
      <c r="U41" s="172">
        <f t="shared" ca="1" si="14"/>
        <v>36</v>
      </c>
      <c r="V41" s="292">
        <f ca="1">IF(B41="",0,HLOOKUP(B41&amp;"a",[11]Feuil1!$A$27:$FX$48,20,FALSE)+RAND()*0.0001)</f>
        <v>1.0000720611283347</v>
      </c>
      <c r="W41" s="293">
        <f ca="1">IF(B41="",0,HLOOKUP(B41&amp;"a",[11]Feuil1!$A$27:$FX$48,21,FALSE))+RAND()*0.0001</f>
        <v>10.000031939149038</v>
      </c>
      <c r="X41" s="725">
        <f t="shared" si="27"/>
        <v>676</v>
      </c>
      <c r="Y41" s="701">
        <f t="shared" si="15"/>
        <v>771</v>
      </c>
      <c r="Z41" s="1171"/>
      <c r="AA41" s="1175"/>
      <c r="AB41" s="1176"/>
      <c r="AC41" s="581"/>
      <c r="AD41" s="752" t="str">
        <f ca="1">IF(OR(MONTH(TODAY())=7,MONTH(TODAY())=8,MONTH(TODAY())=8),"",'[10]résultats commentaires'!L5)</f>
        <v>94 doubles gagnés sur 190 disputés (49,5 %)</v>
      </c>
      <c r="AE41" s="753"/>
      <c r="AF41" s="754"/>
      <c r="AG41" s="755"/>
      <c r="AH41" s="755"/>
      <c r="AI41" s="756"/>
      <c r="AJ41" s="677"/>
      <c r="AK41" s="677">
        <f t="shared" si="28"/>
        <v>31</v>
      </c>
      <c r="AL41" s="705" t="str">
        <f t="shared" si="16"/>
        <v>Bousseau Yannick</v>
      </c>
      <c r="AM41" s="706">
        <f>IF(OR(HLOOKUP($AL41&amp;"a",[11]Feuil1!$A$27:$EP$48,3,FALSE)=FALSE,HLOOKUP($AL41&amp;"a",[11]Feuil1!$A$27:$EP$48,3,FALSE)=""),0,HLOOKUP($AL41&amp;"a",[11]Feuil1!$A$27:$EP$48,3,FALSE))</f>
        <v>11</v>
      </c>
      <c r="AN41" s="706">
        <f>IF(HLOOKUP($AL41&amp;"aa",[11]Feuil1!$A$27:$EP$48,3,FALSE)=FALSE,0,HLOOKUP($AL41&amp;"aa",[11]Feuil1!$A$27:$EP$48,3,FALSE))</f>
        <v>3</v>
      </c>
      <c r="AO41" s="706">
        <f>IF(OR(HLOOKUP($AL41&amp;"a",[11]Feuil1!$A$27:$EP$48,4,FALSE)=FALSE,HLOOKUP($AL41&amp;"a",[11]Feuil1!$A$27:$EP$48,4,FALSE)=""),0,HLOOKUP($AL41&amp;"a",[11]Feuil1!$A$27:$EP$48,4,FALSE))</f>
        <v>3</v>
      </c>
      <c r="AP41" s="706">
        <f>IF(HLOOKUP($AL41&amp;"aa",[11]Feuil1!$A$27:$EP$48,4,FALSE)=FALSE,0,HLOOKUP($AL41&amp;"aa",[11]Feuil1!$A$27:$EP$48,4,FALSE))</f>
        <v>3</v>
      </c>
      <c r="AQ41" s="706">
        <f>IF(OR(HLOOKUP($AL41&amp;"a",[11]Feuil1!$A$27:$EP$48,5,FALSE)=FALSE,HLOOKUP($AL41&amp;"a",[11]Feuil1!$A$27:$EP$48,5,FALSE)=""),0,HLOOKUP($AL41&amp;"a",[11]Feuil1!$A$27:$EP$48,5,FALSE))</f>
        <v>1</v>
      </c>
      <c r="AR41" s="706">
        <f>IF(HLOOKUP($AL41&amp;"aa",[11]Feuil1!$A$27:$EP$48,5,FALSE)=FALSE,0,HLOOKUP($AL41&amp;"aa",[11]Feuil1!$A$27:$EP$48,5,FALSE))</f>
        <v>2</v>
      </c>
      <c r="AS41" s="706">
        <f>IF(OR(HLOOKUP($AL41&amp;"a",[11]Feuil1!$A$27:$EP$48,6,FALSE)=FALSE,HLOOKUP($AL41&amp;"a",[11]Feuil1!$A$27:$EP$48,6,FALSE)=""),0,HLOOKUP($AL41&amp;"a",[11]Feuil1!$A$27:$EP$48,6,FALSE))</f>
        <v>0</v>
      </c>
      <c r="AT41" s="706">
        <f>IF(HLOOKUP($AL41&amp;"aa",[11]Feuil1!$A$27:$EP$48,6,FALSE)=FALSE,0,HLOOKUP($AL41&amp;"aa",[11]Feuil1!$A$27:$EP$48,6,FALSE))</f>
        <v>6</v>
      </c>
      <c r="AU41" s="706">
        <f>IF(OR(HLOOKUP($AL41&amp;"a",[11]Feuil1!$A$27:$EP$48,7,FALSE)=FALSE,HLOOKUP($AL41&amp;"a",[11]Feuil1!$A$27:$EP$48,7,FALSE)=""),0,HLOOKUP($AL41&amp;"a",[11]Feuil1!$A$27:$EP$48,7,FALSE))</f>
        <v>0</v>
      </c>
      <c r="AV41" s="706">
        <f>IF(HLOOKUP($AL41&amp;"aa",[11]Feuil1!$A$27:$EP$48,7,FALSE)=FALSE,0,HLOOKUP($AL41&amp;"aa",[11]Feuil1!$A$27:$EP$48,7,FALSE))</f>
        <v>1</v>
      </c>
      <c r="AW41" s="706">
        <f>IF(OR(HLOOKUP($AL41&amp;"a",[11]Feuil1!$A$27:$EP$48,8,FALSE)=FALSE,HLOOKUP($AL41&amp;"a",[11]Feuil1!$A$27:$EP$48,8,FALSE)=""),0,HLOOKUP($AL41&amp;"a",[11]Feuil1!$A$27:$EP$48,8,FALSE))</f>
        <v>1</v>
      </c>
      <c r="AX41" s="706">
        <f>IF(HLOOKUP($AL41&amp;"aa",[11]Feuil1!$A$27:$EP$48,8,FALSE)=FALSE,0,HLOOKUP($AL41&amp;"aa",[11]Feuil1!$A$27:$EP$48,8,FALSE))</f>
        <v>0</v>
      </c>
      <c r="AY41" s="706">
        <f>IF(OR(HLOOKUP($AL41&amp;"a",[11]Feuil1!$A$27:$EP$48,9,FALSE)=FALSE,HLOOKUP($AL41&amp;"a",[11]Feuil1!$A$27:$EP$48,9,FALSE)=""),0,HLOOKUP($AL41&amp;"a",[11]Feuil1!$A$27:$EP$48,9,FALSE))</f>
        <v>0</v>
      </c>
      <c r="AZ41" s="706">
        <f>IF(HLOOKUP($AL41&amp;"aa",[11]Feuil1!$A$27:$EP$48,9,FALSE)=FALSE,0,HLOOKUP($AL41&amp;"aa",[11]Feuil1!$A$27:$EP$48,9,FALSE))</f>
        <v>0</v>
      </c>
      <c r="BA41" s="706">
        <f>IF(OR(HLOOKUP($AL41&amp;"a",[11]Feuil1!$A$27:$EP$48,10,FALSE)=FALSE,HLOOKUP($AL41&amp;"a",[11]Feuil1!$A$27:$EP$48,10,FALSE)=""),0,HLOOKUP($AL41&amp;"a",[11]Feuil1!$A$27:$EP$48,10,FALSE))</f>
        <v>0</v>
      </c>
      <c r="BB41" s="706">
        <f>IF(HLOOKUP($AL41&amp;"aa",[11]Feuil1!$A$27:$EP$48,10,FALSE)=FALSE,0,HLOOKUP($AL41&amp;"aa",[11]Feuil1!$A$27:$EP$48,10,FALSE))</f>
        <v>0</v>
      </c>
      <c r="BC41" s="706">
        <f>IF(OR(HLOOKUP($AL41&amp;"a",[11]Feuil1!$A$27:$EP$48,11,FALSE)=FALSE,HLOOKUP($AL41&amp;"a",[11]Feuil1!$A$27:$EP$48,11,FALSE)=""),0,HLOOKUP($AL41&amp;"a",[11]Feuil1!$A$27:$EP$48,11,FALSE))</f>
        <v>0</v>
      </c>
      <c r="BD41" s="706">
        <f>IF(HLOOKUP($AL41&amp;"aa",[11]Feuil1!$A$27:$EP$48,11,FALSE)=FALSE,0,HLOOKUP($AL41&amp;"aa",[11]Feuil1!$A$27:$EP$48,11,FALSE))</f>
        <v>0</v>
      </c>
      <c r="BE41" s="706">
        <f>IF(OR(HLOOKUP($AL41&amp;"a",[11]Feuil1!$A$27:$EP$48,12,FALSE)=FALSE,HLOOKUP($AL41&amp;"a",[11]Feuil1!$A$27:$EP$48,12,FALSE)=""),0,HLOOKUP($AL41&amp;"a",[11]Feuil1!$A$27:$EP$48,12,FALSE))</f>
        <v>0</v>
      </c>
      <c r="BF41" s="706">
        <f>IF(HLOOKUP($AL41&amp;"aa",[11]Feuil1!$A$27:$EP$48,12,FALSE)=FALSE,0,HLOOKUP($AL41&amp;"aa",[11]Feuil1!$A$27:$EP$48,12,FALSE))</f>
        <v>0</v>
      </c>
      <c r="BG41" s="706">
        <f>IF(OR(HLOOKUP($AL41&amp;"a",[11]Feuil1!$A$27:$EP$48,13,FALSE)=FALSE,HLOOKUP($AL41&amp;"a",[11]Feuil1!$A$27:$EP$48,13,FALSE)=""),0,HLOOKUP($AL41&amp;"a",[11]Feuil1!$A$27:$EP$48,13,FALSE))</f>
        <v>0</v>
      </c>
      <c r="BH41" s="706">
        <f>IF(HLOOKUP($AL41&amp;"aa",[11]Feuil1!$A$27:$EP$48,13,FALSE)=FALSE,0,HLOOKUP($AL41&amp;"aa",[11]Feuil1!$A$27:$EP$48,13,FALSE))</f>
        <v>0</v>
      </c>
      <c r="BI41" s="706">
        <f>IF(OR(HLOOKUP($AL41&amp;"a",[11]Feuil1!$A$27:$EP$48,14,FALSE)=FALSE,HLOOKUP($AL41&amp;"a",[11]Feuil1!$A$27:$EP$48,14,FALSE)=""),0,HLOOKUP($AL41&amp;"a",[11]Feuil1!$A$27:$EP$48,14,FALSE))</f>
        <v>0</v>
      </c>
      <c r="BJ41" s="706">
        <f>IF(HLOOKUP($AL41&amp;"aa",[11]Feuil1!$A$27:$EP$48,14,FALSE)=FALSE,0,HLOOKUP($AL41&amp;"aa",[11]Feuil1!$A$27:$EP$48,14,FALSE))</f>
        <v>0</v>
      </c>
      <c r="BK41" s="706">
        <f>IF(OR(HLOOKUP($AL41&amp;"a",[11]Feuil1!$A$27:$EP$48,15,FALSE)=FALSE,HLOOKUP($AL41&amp;"a",[11]Feuil1!$A$27:$EP$48,15,FALSE)=""),0,HLOOKUP($AL41&amp;"a",[11]Feuil1!$A$27:$EP$48,15,FALSE))</f>
        <v>0</v>
      </c>
      <c r="BL41" s="706">
        <f>IF(HLOOKUP($AL41&amp;"aa",[11]Feuil1!$A$27:$EP$48,15,FALSE)=FALSE,0,HLOOKUP($AL41&amp;"aa",[11]Feuil1!$A$27:$EP$48,15,FALSE))</f>
        <v>0</v>
      </c>
      <c r="BM41" s="706">
        <f>IF(OR(HLOOKUP($AL41&amp;"a",[11]Feuil1!$A$27:$EP$48,16,FALSE)=FALSE,HLOOKUP($AL41&amp;"a",[11]Feuil1!$A$27:$EP$48,16,FALSE)=""),0,HLOOKUP($AL41&amp;"a",[11]Feuil1!$A$27:$EP$48,16,FALSE))</f>
        <v>0</v>
      </c>
      <c r="BN41" s="706">
        <f>IF(HLOOKUP($AL41&amp;"aa",[11]Feuil1!$A$27:$EP$48,16,FALSE)=FALSE,0,HLOOKUP($AL41&amp;"aa",[11]Feuil1!$A$27:$EP$48,16,FALSE))</f>
        <v>0</v>
      </c>
      <c r="BO41" s="706">
        <f>IF(OR(HLOOKUP($AL41&amp;"a",[11]Feuil1!$A$27:$EP$48,17,FALSE)=FALSE,HLOOKUP($AL41&amp;"a",[11]Feuil1!$A$27:$EP$48,17,FALSE)=""),0,HLOOKUP($AL41&amp;"a",[11]Feuil1!$A$27:$EP$48,17,FALSE))</f>
        <v>0</v>
      </c>
      <c r="BP41" s="706">
        <f>IF(HLOOKUP($AL41&amp;"aa",[11]Feuil1!$A$27:$EP$48,17,FALSE)=FALSE,0,HLOOKUP($AL41&amp;"aa",[11]Feuil1!$A$27:$EP$48,17,FALSE))</f>
        <v>0</v>
      </c>
      <c r="BQ41" s="706">
        <f>IF(OR(HLOOKUP($AL41&amp;"a",[11]Feuil1!$A$27:$EP$48,18,FALSE)=FALSE,HLOOKUP($AL41&amp;"a",[11]Feuil1!$A$27:$EP$48,18,FALSE)=""),0,HLOOKUP($AL41&amp;"a",[11]Feuil1!$A$27:$EP$48,18,FALSE))</f>
        <v>0</v>
      </c>
      <c r="BR41" s="706">
        <f>IF(HLOOKUP($AL41&amp;"aa",[11]Feuil1!$A$27:$EP$48,18,FALSE)=FALSE,0,HLOOKUP($AL41&amp;"aa",[11]Feuil1!$A$27:$EP$48,18,FALSE))</f>
        <v>0</v>
      </c>
      <c r="BS41" s="707">
        <f t="shared" si="29"/>
        <v>5.625</v>
      </c>
      <c r="BT41" s="707">
        <f t="shared" si="30"/>
        <v>6.9333333333333336</v>
      </c>
      <c r="BU41" s="707">
        <f t="shared" si="31"/>
        <v>6.258064516129032</v>
      </c>
      <c r="BV41" s="708">
        <f t="shared" ca="1" si="32"/>
        <v>16</v>
      </c>
      <c r="BW41" s="708">
        <f t="shared" ca="1" si="33"/>
        <v>20</v>
      </c>
      <c r="BX41" t="str">
        <f t="shared" si="34"/>
        <v>THOMAZEAU Léo</v>
      </c>
      <c r="BY41" s="709">
        <v>26</v>
      </c>
      <c r="BZ41" s="710" t="s">
        <v>593</v>
      </c>
      <c r="CA41" s="711" t="s">
        <v>594</v>
      </c>
      <c r="CB41" s="709">
        <v>7</v>
      </c>
      <c r="CC41" s="712" t="s">
        <v>595</v>
      </c>
      <c r="CD41" s="709" t="s">
        <v>596</v>
      </c>
      <c r="CE41" s="591" t="str">
        <f t="shared" si="35"/>
        <v>726.00</v>
      </c>
      <c r="CF41" s="561"/>
      <c r="CG41" s="561"/>
      <c r="CH41" s="561"/>
      <c r="CI41" s="714"/>
      <c r="CK41" s="715">
        <f t="shared" si="36"/>
        <v>18</v>
      </c>
      <c r="CL41" s="591">
        <f t="shared" si="17"/>
        <v>1</v>
      </c>
      <c r="CM41" s="716">
        <f t="shared" si="45"/>
        <v>-7.2999999999979082E-2</v>
      </c>
      <c r="CN41" s="716">
        <f t="shared" si="45"/>
        <v>18</v>
      </c>
      <c r="CO41" s="716">
        <f t="shared" si="45"/>
        <v>17</v>
      </c>
      <c r="CP41" s="716">
        <f t="shared" si="45"/>
        <v>-2</v>
      </c>
      <c r="CQ41" s="716">
        <f t="shared" si="45"/>
        <v>-16</v>
      </c>
      <c r="CR41" s="716">
        <f t="shared" si="45"/>
        <v>-12</v>
      </c>
      <c r="CS41" s="716">
        <f t="shared" si="45"/>
        <v>-53</v>
      </c>
      <c r="CT41" s="716">
        <f t="shared" si="45"/>
        <v>-7</v>
      </c>
      <c r="CU41" s="716">
        <f t="shared" si="45"/>
        <v>0</v>
      </c>
      <c r="CV41" s="717" t="str">
        <f t="shared" si="37"/>
        <v>faux</v>
      </c>
      <c r="CW41" s="718">
        <f>IF(E41=0,"",VLOOKUP(B41,[10]liste!AU:BD,10,FALSE))</f>
        <v>2</v>
      </c>
      <c r="CX41" s="719">
        <f t="shared" si="19"/>
        <v>681</v>
      </c>
      <c r="CY41" s="720">
        <f t="shared" si="38"/>
        <v>6</v>
      </c>
      <c r="CZ41" s="719"/>
      <c r="DA41" s="719"/>
      <c r="DB41" s="719"/>
      <c r="DC41" s="722" t="str">
        <f t="shared" ca="1" si="20"/>
        <v/>
      </c>
      <c r="DE41" s="723">
        <f t="shared" si="21"/>
        <v>736.07299999999998</v>
      </c>
      <c r="DF41" s="723">
        <f t="shared" si="22"/>
        <v>681</v>
      </c>
      <c r="DG41" s="697" t="str">
        <f t="shared" si="23"/>
        <v>Bousseau Yannick</v>
      </c>
      <c r="DH41" s="724">
        <f t="shared" si="24"/>
        <v>-2</v>
      </c>
      <c r="DI41" s="724">
        <f t="shared" si="39"/>
        <v>2</v>
      </c>
      <c r="DJ41" s="719">
        <f t="shared" si="25"/>
        <v>769</v>
      </c>
      <c r="DK41" s="719" t="str">
        <f t="shared" si="26"/>
        <v/>
      </c>
      <c r="DL41" s="719" t="str">
        <f t="shared" si="40"/>
        <v/>
      </c>
      <c r="DM41" s="719"/>
      <c r="DN41" s="719"/>
      <c r="DO41" s="719"/>
      <c r="DP41" s="720">
        <f t="shared" si="41"/>
        <v>7</v>
      </c>
      <c r="DQ41" s="591">
        <f ca="1">VLOOKUP(DG41,[10]résultats!$A$2:$DE$70,109,FALSE)</f>
        <v>16</v>
      </c>
      <c r="DR41" s="591">
        <f ca="1">VLOOKUP(DG41,[10]résultats!$A$2:$DG$70,111,FALSE)</f>
        <v>36</v>
      </c>
      <c r="DT41" s="591">
        <f t="shared" si="42"/>
        <v>26</v>
      </c>
      <c r="DU41" s="591">
        <f t="shared" si="43"/>
        <v>30</v>
      </c>
    </row>
    <row r="42" spans="1:125" s="554" customFormat="1" ht="23.1" customHeight="1">
      <c r="A42" s="308">
        <f t="shared" si="9"/>
        <v>28</v>
      </c>
      <c r="B42" s="297" t="str">
        <f>IF(E42=0,"",VLOOKUP(E42,[10]liste!AM:AN,2,FALSE))</f>
        <v>Guehennec Benoit</v>
      </c>
      <c r="C42" s="298">
        <f>IF(E42=0,"",VLOOKUP(B42,[10]liste!AN:AP,3,FALSE))</f>
        <v>6</v>
      </c>
      <c r="D42" s="691">
        <f t="shared" si="10"/>
        <v>7</v>
      </c>
      <c r="E42" s="692">
        <f>LARGE([10]liste!AM:AM,27)</f>
        <v>686.06600000000003</v>
      </c>
      <c r="F42" s="693">
        <v>686</v>
      </c>
      <c r="G42" s="693">
        <v>706</v>
      </c>
      <c r="H42" s="693">
        <v>715</v>
      </c>
      <c r="I42" s="692">
        <v>704</v>
      </c>
      <c r="J42" s="693">
        <v>704</v>
      </c>
      <c r="K42" s="693">
        <v>707</v>
      </c>
      <c r="L42" s="693">
        <v>716</v>
      </c>
      <c r="M42" s="692">
        <v>721</v>
      </c>
      <c r="N42" s="692">
        <v>721.01</v>
      </c>
      <c r="O42" s="694"/>
      <c r="P42" s="695">
        <f t="shared" ca="1" si="11"/>
        <v>9.9999999999909051E-3</v>
      </c>
      <c r="Q42" s="170">
        <f t="shared" si="12"/>
        <v>34.94399999999996</v>
      </c>
      <c r="R42" s="696">
        <f ca="1">IF(U42&lt;MAX(U$16:U$81)/6.2,"NS",IF(B42="",0,VLOOKUP(B42,[10]résultats!AX:DH,63,FALSE)))</f>
        <v>0.72735959687822571</v>
      </c>
      <c r="S42" s="697" t="str">
        <f t="shared" si="13"/>
        <v>Guehennec Benoit</v>
      </c>
      <c r="T42" s="171">
        <f t="shared" ca="1" si="14"/>
        <v>24</v>
      </c>
      <c r="U42" s="172">
        <f t="shared" ca="1" si="14"/>
        <v>33</v>
      </c>
      <c r="V42" s="292">
        <f ca="1">IF(B42="",0,HLOOKUP(B42&amp;"a",[11]Feuil1!$A$27:$FX$48,20,FALSE)+RAND()*0.0001)</f>
        <v>3.8590467119845539E-5</v>
      </c>
      <c r="W42" s="293">
        <f ca="1">IF(B42="",0,HLOOKUP(B42&amp;"a",[11]Feuil1!$A$27:$FX$48,21,FALSE))+RAND()*0.0001</f>
        <v>3.0000471656723469</v>
      </c>
      <c r="X42" s="725">
        <f t="shared" si="27"/>
        <v>583</v>
      </c>
      <c r="Y42" s="701">
        <f t="shared" si="15"/>
        <v>721.01</v>
      </c>
      <c r="Z42" s="1171"/>
      <c r="AA42" s="1175"/>
      <c r="AB42" s="1176"/>
      <c r="AC42" s="581"/>
      <c r="AD42" s="757" t="str">
        <f ca="1">IF(OR(MONTH(TODAY())=7,MONTH(TODAY())=8,MONTH(TODAY())=8),"",IF(SUM([10]résultats!DE:DE)=0,"",COUNTIF([10]résultats!AE$1:AE$70,LARGE([10]résultats!AE$1:AE$70,1))&amp;" joueurs ont disputé toutes les journées."))</f>
        <v>4 joueurs ont disputé toutes les journées.</v>
      </c>
      <c r="AE42" s="758"/>
      <c r="AF42" s="759"/>
      <c r="AG42" s="760"/>
      <c r="AH42" s="760"/>
      <c r="AI42" s="761"/>
      <c r="AJ42" s="677"/>
      <c r="AK42" s="677">
        <f t="shared" si="28"/>
        <v>27</v>
      </c>
      <c r="AL42" s="705" t="str">
        <f t="shared" si="16"/>
        <v>Guehennec Benoit</v>
      </c>
      <c r="AM42" s="706">
        <f>IF(OR(HLOOKUP($AL42&amp;"a",[11]Feuil1!$A$27:$EP$48,3,FALSE)=FALSE,HLOOKUP($AL42&amp;"a",[11]Feuil1!$A$27:$EP$48,3,FALSE)=""),0,HLOOKUP($AL42&amp;"a",[11]Feuil1!$A$27:$EP$48,3,FALSE))</f>
        <v>20</v>
      </c>
      <c r="AN42" s="706">
        <f>IF(HLOOKUP($AL42&amp;"aa",[11]Feuil1!$A$27:$EP$48,3,FALSE)=FALSE,0,HLOOKUP($AL42&amp;"aa",[11]Feuil1!$A$27:$EP$48,3,FALSE))</f>
        <v>0</v>
      </c>
      <c r="AO42" s="706">
        <f>IF(OR(HLOOKUP($AL42&amp;"a",[11]Feuil1!$A$27:$EP$48,4,FALSE)=FALSE,HLOOKUP($AL42&amp;"a",[11]Feuil1!$A$27:$EP$48,4,FALSE)=""),0,HLOOKUP($AL42&amp;"a",[11]Feuil1!$A$27:$EP$48,4,FALSE))</f>
        <v>2</v>
      </c>
      <c r="AP42" s="706">
        <f>IF(HLOOKUP($AL42&amp;"aa",[11]Feuil1!$A$27:$EP$48,4,FALSE)=FALSE,0,HLOOKUP($AL42&amp;"aa",[11]Feuil1!$A$27:$EP$48,4,FALSE))</f>
        <v>3</v>
      </c>
      <c r="AQ42" s="706">
        <f>IF(OR(HLOOKUP($AL42&amp;"a",[11]Feuil1!$A$27:$EP$48,5,FALSE)=FALSE,HLOOKUP($AL42&amp;"a",[11]Feuil1!$A$27:$EP$48,5,FALSE)=""),0,HLOOKUP($AL42&amp;"a",[11]Feuil1!$A$27:$EP$48,5,FALSE))</f>
        <v>0</v>
      </c>
      <c r="AR42" s="706">
        <f>IF(HLOOKUP($AL42&amp;"aa",[11]Feuil1!$A$27:$EP$48,5,FALSE)=FALSE,0,HLOOKUP($AL42&amp;"aa",[11]Feuil1!$A$27:$EP$48,5,FALSE))</f>
        <v>2</v>
      </c>
      <c r="AS42" s="706">
        <f>IF(OR(HLOOKUP($AL42&amp;"a",[11]Feuil1!$A$27:$EP$48,6,FALSE)=FALSE,HLOOKUP($AL42&amp;"a",[11]Feuil1!$A$27:$EP$48,6,FALSE)=""),0,HLOOKUP($AL42&amp;"a",[11]Feuil1!$A$27:$EP$48,6,FALSE))</f>
        <v>0</v>
      </c>
      <c r="AT42" s="706">
        <f>IF(HLOOKUP($AL42&amp;"aa",[11]Feuil1!$A$27:$EP$48,6,FALSE)=FALSE,0,HLOOKUP($AL42&amp;"aa",[11]Feuil1!$A$27:$EP$48,6,FALSE))</f>
        <v>0</v>
      </c>
      <c r="AU42" s="706">
        <f>IF(OR(HLOOKUP($AL42&amp;"a",[11]Feuil1!$A$27:$EP$48,7,FALSE)=FALSE,HLOOKUP($AL42&amp;"a",[11]Feuil1!$A$27:$EP$48,7,FALSE)=""),0,HLOOKUP($AL42&amp;"a",[11]Feuil1!$A$27:$EP$48,7,FALSE))</f>
        <v>0</v>
      </c>
      <c r="AV42" s="706">
        <f>IF(HLOOKUP($AL42&amp;"aa",[11]Feuil1!$A$27:$EP$48,7,FALSE)=FALSE,0,HLOOKUP($AL42&amp;"aa",[11]Feuil1!$A$27:$EP$48,7,FALSE))</f>
        <v>0</v>
      </c>
      <c r="AW42" s="706">
        <f>IF(OR(HLOOKUP($AL42&amp;"a",[11]Feuil1!$A$27:$EP$48,8,FALSE)=FALSE,HLOOKUP($AL42&amp;"a",[11]Feuil1!$A$27:$EP$48,8,FALSE)=""),0,HLOOKUP($AL42&amp;"a",[11]Feuil1!$A$27:$EP$48,8,FALSE))</f>
        <v>0</v>
      </c>
      <c r="AX42" s="706">
        <f>IF(HLOOKUP($AL42&amp;"aa",[11]Feuil1!$A$27:$EP$48,8,FALSE)=FALSE,0,HLOOKUP($AL42&amp;"aa",[11]Feuil1!$A$27:$EP$48,8,FALSE))</f>
        <v>0</v>
      </c>
      <c r="AY42" s="706">
        <f>IF(OR(HLOOKUP($AL42&amp;"a",[11]Feuil1!$A$27:$EP$48,9,FALSE)=FALSE,HLOOKUP($AL42&amp;"a",[11]Feuil1!$A$27:$EP$48,9,FALSE)=""),0,HLOOKUP($AL42&amp;"a",[11]Feuil1!$A$27:$EP$48,9,FALSE))</f>
        <v>0</v>
      </c>
      <c r="AZ42" s="706">
        <f>IF(HLOOKUP($AL42&amp;"aa",[11]Feuil1!$A$27:$EP$48,9,FALSE)=FALSE,0,HLOOKUP($AL42&amp;"aa",[11]Feuil1!$A$27:$EP$48,9,FALSE))</f>
        <v>0</v>
      </c>
      <c r="BA42" s="706">
        <f>IF(OR(HLOOKUP($AL42&amp;"a",[11]Feuil1!$A$27:$EP$48,10,FALSE)=FALSE,HLOOKUP($AL42&amp;"a",[11]Feuil1!$A$27:$EP$48,10,FALSE)=""),0,HLOOKUP($AL42&amp;"a",[11]Feuil1!$A$27:$EP$48,10,FALSE))</f>
        <v>0</v>
      </c>
      <c r="BB42" s="706">
        <f>IF(HLOOKUP($AL42&amp;"aa",[11]Feuil1!$A$27:$EP$48,10,FALSE)=FALSE,0,HLOOKUP($AL42&amp;"aa",[11]Feuil1!$A$27:$EP$48,10,FALSE))</f>
        <v>0</v>
      </c>
      <c r="BC42" s="706">
        <f>IF(OR(HLOOKUP($AL42&amp;"a",[11]Feuil1!$A$27:$EP$48,11,FALSE)=FALSE,HLOOKUP($AL42&amp;"a",[11]Feuil1!$A$27:$EP$48,11,FALSE)=""),0,HLOOKUP($AL42&amp;"a",[11]Feuil1!$A$27:$EP$48,11,FALSE))</f>
        <v>0</v>
      </c>
      <c r="BD42" s="706">
        <f>IF(HLOOKUP($AL42&amp;"aa",[11]Feuil1!$A$27:$EP$48,11,FALSE)=FALSE,0,HLOOKUP($AL42&amp;"aa",[11]Feuil1!$A$27:$EP$48,11,FALSE))</f>
        <v>0</v>
      </c>
      <c r="BE42" s="706">
        <f>IF(OR(HLOOKUP($AL42&amp;"a",[11]Feuil1!$A$27:$EP$48,12,FALSE)=FALSE,HLOOKUP($AL42&amp;"a",[11]Feuil1!$A$27:$EP$48,12,FALSE)=""),0,HLOOKUP($AL42&amp;"a",[11]Feuil1!$A$27:$EP$48,12,FALSE))</f>
        <v>0</v>
      </c>
      <c r="BF42" s="706">
        <f>IF(HLOOKUP($AL42&amp;"aa",[11]Feuil1!$A$27:$EP$48,12,FALSE)=FALSE,0,HLOOKUP($AL42&amp;"aa",[11]Feuil1!$A$27:$EP$48,12,FALSE))</f>
        <v>0</v>
      </c>
      <c r="BG42" s="706">
        <f>IF(OR(HLOOKUP($AL42&amp;"a",[11]Feuil1!$A$27:$EP$48,13,FALSE)=FALSE,HLOOKUP($AL42&amp;"a",[11]Feuil1!$A$27:$EP$48,13,FALSE)=""),0,HLOOKUP($AL42&amp;"a",[11]Feuil1!$A$27:$EP$48,13,FALSE))</f>
        <v>0</v>
      </c>
      <c r="BH42" s="706">
        <f>IF(HLOOKUP($AL42&amp;"aa",[11]Feuil1!$A$27:$EP$48,13,FALSE)=FALSE,0,HLOOKUP($AL42&amp;"aa",[11]Feuil1!$A$27:$EP$48,13,FALSE))</f>
        <v>0</v>
      </c>
      <c r="BI42" s="706">
        <f>IF(OR(HLOOKUP($AL42&amp;"a",[11]Feuil1!$A$27:$EP$48,14,FALSE)=FALSE,HLOOKUP($AL42&amp;"a",[11]Feuil1!$A$27:$EP$48,14,FALSE)=""),0,HLOOKUP($AL42&amp;"a",[11]Feuil1!$A$27:$EP$48,14,FALSE))</f>
        <v>0</v>
      </c>
      <c r="BJ42" s="706">
        <f>IF(HLOOKUP($AL42&amp;"aa",[11]Feuil1!$A$27:$EP$48,14,FALSE)=FALSE,0,HLOOKUP($AL42&amp;"aa",[11]Feuil1!$A$27:$EP$48,14,FALSE))</f>
        <v>0</v>
      </c>
      <c r="BK42" s="706">
        <f>IF(OR(HLOOKUP($AL42&amp;"a",[11]Feuil1!$A$27:$EP$48,15,FALSE)=FALSE,HLOOKUP($AL42&amp;"a",[11]Feuil1!$A$27:$EP$48,15,FALSE)=""),0,HLOOKUP($AL42&amp;"a",[11]Feuil1!$A$27:$EP$48,15,FALSE))</f>
        <v>0</v>
      </c>
      <c r="BL42" s="706">
        <f>IF(HLOOKUP($AL42&amp;"aa",[11]Feuil1!$A$27:$EP$48,15,FALSE)=FALSE,0,HLOOKUP($AL42&amp;"aa",[11]Feuil1!$A$27:$EP$48,15,FALSE))</f>
        <v>0</v>
      </c>
      <c r="BM42" s="706">
        <f>IF(OR(HLOOKUP($AL42&amp;"a",[11]Feuil1!$A$27:$EP$48,16,FALSE)=FALSE,HLOOKUP($AL42&amp;"a",[11]Feuil1!$A$27:$EP$48,16,FALSE)=""),0,HLOOKUP($AL42&amp;"a",[11]Feuil1!$A$27:$EP$48,16,FALSE))</f>
        <v>0</v>
      </c>
      <c r="BN42" s="706">
        <f>IF(HLOOKUP($AL42&amp;"aa",[11]Feuil1!$A$27:$EP$48,16,FALSE)=FALSE,0,HLOOKUP($AL42&amp;"aa",[11]Feuil1!$A$27:$EP$48,16,FALSE))</f>
        <v>0</v>
      </c>
      <c r="BO42" s="706">
        <f>IF(OR(HLOOKUP($AL42&amp;"a",[11]Feuil1!$A$27:$EP$48,17,FALSE)=FALSE,HLOOKUP($AL42&amp;"a",[11]Feuil1!$A$27:$EP$48,17,FALSE)=""),0,HLOOKUP($AL42&amp;"a",[11]Feuil1!$A$27:$EP$48,17,FALSE))</f>
        <v>0</v>
      </c>
      <c r="BP42" s="706">
        <f>IF(HLOOKUP($AL42&amp;"aa",[11]Feuil1!$A$27:$EP$48,17,FALSE)=FALSE,0,HLOOKUP($AL42&amp;"aa",[11]Feuil1!$A$27:$EP$48,17,FALSE))</f>
        <v>0</v>
      </c>
      <c r="BQ42" s="706">
        <f>IF(OR(HLOOKUP($AL42&amp;"a",[11]Feuil1!$A$27:$EP$48,18,FALSE)=FALSE,HLOOKUP($AL42&amp;"a",[11]Feuil1!$A$27:$EP$48,18,FALSE)=""),0,HLOOKUP($AL42&amp;"a",[11]Feuil1!$A$27:$EP$48,18,FALSE))</f>
        <v>0</v>
      </c>
      <c r="BR42" s="706">
        <f>IF(HLOOKUP($AL42&amp;"aa",[11]Feuil1!$A$27:$EP$48,18,FALSE)=FALSE,0,HLOOKUP($AL42&amp;"aa",[11]Feuil1!$A$27:$EP$48,18,FALSE))</f>
        <v>0</v>
      </c>
      <c r="BS42" s="707">
        <f t="shared" si="29"/>
        <v>5.0909090909090908</v>
      </c>
      <c r="BT42" s="707">
        <f t="shared" si="30"/>
        <v>6.4</v>
      </c>
      <c r="BU42" s="707">
        <f t="shared" si="31"/>
        <v>5.333333333333333</v>
      </c>
      <c r="BV42" s="708">
        <f t="shared" ca="1" si="32"/>
        <v>24</v>
      </c>
      <c r="BW42" s="708">
        <f t="shared" ca="1" si="33"/>
        <v>9</v>
      </c>
      <c r="BX42" t="str">
        <f t="shared" si="34"/>
        <v>TOUCHE Rémy</v>
      </c>
      <c r="BY42" s="726">
        <v>27</v>
      </c>
      <c r="BZ42" s="727" t="s">
        <v>597</v>
      </c>
      <c r="CA42" s="728" t="s">
        <v>598</v>
      </c>
      <c r="CB42" s="726">
        <v>10</v>
      </c>
      <c r="CC42" s="729" t="s">
        <v>599</v>
      </c>
      <c r="CD42" s="726" t="s">
        <v>521</v>
      </c>
      <c r="CE42" s="591" t="e">
        <f t="shared" si="35"/>
        <v>#N/A</v>
      </c>
      <c r="CF42" s="561"/>
      <c r="CG42" s="561"/>
      <c r="CH42" s="561"/>
      <c r="CI42" s="714"/>
      <c r="CK42" s="715">
        <f t="shared" si="36"/>
        <v>20</v>
      </c>
      <c r="CL42" s="591">
        <f t="shared" si="17"/>
        <v>2</v>
      </c>
      <c r="CM42" s="716">
        <f t="shared" si="45"/>
        <v>-6.6000000000030923E-2</v>
      </c>
      <c r="CN42" s="716">
        <f t="shared" si="45"/>
        <v>20</v>
      </c>
      <c r="CO42" s="716">
        <f t="shared" si="45"/>
        <v>9</v>
      </c>
      <c r="CP42" s="716">
        <f t="shared" si="45"/>
        <v>-11</v>
      </c>
      <c r="CQ42" s="716">
        <f t="shared" si="45"/>
        <v>0</v>
      </c>
      <c r="CR42" s="716">
        <f t="shared" si="45"/>
        <v>3</v>
      </c>
      <c r="CS42" s="716">
        <f t="shared" si="45"/>
        <v>9</v>
      </c>
      <c r="CT42" s="716">
        <f t="shared" si="45"/>
        <v>5</v>
      </c>
      <c r="CU42" s="716">
        <f t="shared" si="45"/>
        <v>9.9999999999909051E-3</v>
      </c>
      <c r="CV42" s="717" t="str">
        <f t="shared" si="37"/>
        <v>faux</v>
      </c>
      <c r="CW42" s="718">
        <f>IF(E42=0,"",VLOOKUP(B42,[10]liste!AU:BD,10,FALSE))</f>
        <v>2</v>
      </c>
      <c r="CX42" s="719">
        <f t="shared" si="19"/>
        <v>721.01</v>
      </c>
      <c r="CY42" s="720">
        <f t="shared" si="38"/>
        <v>7</v>
      </c>
      <c r="CZ42" s="719"/>
      <c r="DA42" s="719"/>
      <c r="DB42" s="719"/>
      <c r="DC42" s="722" t="str">
        <f t="shared" ca="1" si="20"/>
        <v>x</v>
      </c>
      <c r="DE42" s="723">
        <f t="shared" si="21"/>
        <v>686.06600000000003</v>
      </c>
      <c r="DF42" s="723">
        <f t="shared" si="22"/>
        <v>721.01</v>
      </c>
      <c r="DG42" s="697" t="str">
        <f t="shared" si="23"/>
        <v>Guehennec Benoit</v>
      </c>
      <c r="DH42" s="724">
        <f t="shared" si="24"/>
        <v>1</v>
      </c>
      <c r="DI42" s="724">
        <f t="shared" si="39"/>
        <v>2</v>
      </c>
      <c r="DJ42" s="719">
        <f t="shared" si="25"/>
        <v>704</v>
      </c>
      <c r="DK42" s="719" t="str">
        <f t="shared" si="26"/>
        <v/>
      </c>
      <c r="DL42" s="719" t="str">
        <f t="shared" si="40"/>
        <v/>
      </c>
      <c r="DM42" s="719"/>
      <c r="DN42" s="719"/>
      <c r="DO42" s="719"/>
      <c r="DP42" s="720">
        <f t="shared" si="41"/>
        <v>7</v>
      </c>
      <c r="DQ42" s="591">
        <f ca="1">VLOOKUP(DG42,[10]résultats!$A$2:$DE$70,109,FALSE)</f>
        <v>24</v>
      </c>
      <c r="DR42" s="591">
        <f ca="1">VLOOKUP(DG42,[10]résultats!$A$2:$DG$70,111,FALSE)</f>
        <v>33</v>
      </c>
      <c r="DT42" s="591">
        <f t="shared" si="42"/>
        <v>28</v>
      </c>
      <c r="DU42" s="591">
        <f t="shared" si="43"/>
        <v>28</v>
      </c>
    </row>
    <row r="43" spans="1:125" s="554" customFormat="1" ht="23.1" customHeight="1">
      <c r="A43" s="308">
        <f t="shared" si="9"/>
        <v>27</v>
      </c>
      <c r="B43" s="297" t="str">
        <f>IF(E43=0,"",VLOOKUP(E43,[10]liste!AM:AN,2,FALSE))</f>
        <v>Sail Rémy</v>
      </c>
      <c r="C43" s="298">
        <f>IF(E43=0,"",VLOOKUP(B43,[10]liste!AN:AP,3,FALSE))</f>
        <v>6</v>
      </c>
      <c r="D43" s="691">
        <f t="shared" si="10"/>
        <v>7</v>
      </c>
      <c r="E43" s="692">
        <f>LARGE([10]liste!AM:AM,28)</f>
        <v>686.03499999999997</v>
      </c>
      <c r="F43" s="693">
        <v>686</v>
      </c>
      <c r="G43" s="693">
        <v>691</v>
      </c>
      <c r="H43" s="693">
        <v>709</v>
      </c>
      <c r="I43" s="692">
        <v>708</v>
      </c>
      <c r="J43" s="693">
        <v>708</v>
      </c>
      <c r="K43" s="693">
        <v>724</v>
      </c>
      <c r="L43" s="693">
        <v>732</v>
      </c>
      <c r="M43" s="692">
        <v>740</v>
      </c>
      <c r="N43" s="692">
        <v>740.02</v>
      </c>
      <c r="O43" s="694"/>
      <c r="P43" s="695">
        <f t="shared" ca="1" si="11"/>
        <v>1.999999999998181E-2</v>
      </c>
      <c r="Q43" s="170">
        <f t="shared" si="12"/>
        <v>53.985000000000014</v>
      </c>
      <c r="R43" s="696">
        <f ca="1">IF(U43&lt;MAX(U$16:U$81)/6.2,"NS",IF(B43="",0,VLOOKUP(B43,[10]résultats!AX:DH,63,FALSE)))</f>
        <v>0.7671927523737232</v>
      </c>
      <c r="S43" s="697" t="str">
        <f t="shared" si="13"/>
        <v>Sail Rémy</v>
      </c>
      <c r="T43" s="171">
        <f t="shared" ca="1" si="14"/>
        <v>56</v>
      </c>
      <c r="U43" s="172">
        <f t="shared" ca="1" si="14"/>
        <v>73</v>
      </c>
      <c r="V43" s="292">
        <f ca="1">IF(B43="",0,HLOOKUP(B43&amp;"a",[11]Feuil1!$A$27:$FX$48,20,FALSE)+RAND()*0.0001)</f>
        <v>3.000099236330048</v>
      </c>
      <c r="W43" s="293">
        <f ca="1">IF(B43="",0,HLOOKUP(B43&amp;"a",[11]Feuil1!$A$27:$FX$48,21,FALSE))+RAND()*0.0001</f>
        <v>11.00006261161354</v>
      </c>
      <c r="X43" s="725">
        <f t="shared" si="27"/>
        <v>610</v>
      </c>
      <c r="Y43" s="701">
        <f t="shared" si="15"/>
        <v>740.02</v>
      </c>
      <c r="Z43" s="1171"/>
      <c r="AA43" s="1175"/>
      <c r="AB43" s="1176"/>
      <c r="AC43" s="581"/>
      <c r="AD43" s="968" t="str">
        <f ca="1">IF(OR(MONTH(TODAY())=7,MONTH(TODAY())=8,MONTH(TODAY())=8),"","Total général: "&amp;SUM('points et TOP'!DR16:DR84)&amp;" simples disputés dont ")</f>
        <v xml:space="preserve">Total général: 1737 simples disputés dont </v>
      </c>
      <c r="AE43" s="969"/>
      <c r="AF43" s="970"/>
      <c r="AG43" s="971"/>
      <c r="AH43" s="968" t="str">
        <f ca="1">IF(OR(MONTH(TODAY())=7,MONTH(TODAY())=8,MONTH(TODAY())=9),"",IF(SUM([10]résultats!DE:DE)=0,"",SUM([10]résultats!DE2:DE70)&amp;" Victoires ( "&amp;ROUND(SUM([10]résultats!DE:DE)*100/SUM([10]résultats!DG:DG),0)&amp;" % )"))</f>
        <v>985 Victoires ( 57 % )</v>
      </c>
      <c r="AI43" s="971"/>
      <c r="AJ43" s="677"/>
      <c r="AK43" s="677">
        <f t="shared" si="28"/>
        <v>70</v>
      </c>
      <c r="AL43" s="705" t="str">
        <f t="shared" si="16"/>
        <v>Sail Rémy</v>
      </c>
      <c r="AM43" s="706">
        <f>IF(OR(HLOOKUP($AL43&amp;"a",[11]Feuil1!$A$27:$EP$48,3,FALSE)=FALSE,HLOOKUP($AL43&amp;"a",[11]Feuil1!$A$27:$EP$48,3,FALSE)=""),0,HLOOKUP($AL43&amp;"a",[11]Feuil1!$A$27:$EP$48,3,FALSE))</f>
        <v>47</v>
      </c>
      <c r="AN43" s="706">
        <f>IF(HLOOKUP($AL43&amp;"aa",[11]Feuil1!$A$27:$EP$48,3,FALSE)=FALSE,0,HLOOKUP($AL43&amp;"aa",[11]Feuil1!$A$27:$EP$48,3,FALSE))</f>
        <v>4</v>
      </c>
      <c r="AO43" s="706">
        <f>IF(OR(HLOOKUP($AL43&amp;"a",[11]Feuil1!$A$27:$EP$48,4,FALSE)=FALSE,HLOOKUP($AL43&amp;"a",[11]Feuil1!$A$27:$EP$48,4,FALSE)=""),0,HLOOKUP($AL43&amp;"a",[11]Feuil1!$A$27:$EP$48,4,FALSE))</f>
        <v>2</v>
      </c>
      <c r="AP43" s="706">
        <f>IF(HLOOKUP($AL43&amp;"aa",[11]Feuil1!$A$27:$EP$48,4,FALSE)=FALSE,0,HLOOKUP($AL43&amp;"aa",[11]Feuil1!$A$27:$EP$48,4,FALSE))</f>
        <v>7</v>
      </c>
      <c r="AQ43" s="706">
        <f>IF(OR(HLOOKUP($AL43&amp;"a",[11]Feuil1!$A$27:$EP$48,5,FALSE)=FALSE,HLOOKUP($AL43&amp;"a",[11]Feuil1!$A$27:$EP$48,5,FALSE)=""),0,HLOOKUP($AL43&amp;"a",[11]Feuil1!$A$27:$EP$48,5,FALSE))</f>
        <v>1</v>
      </c>
      <c r="AR43" s="706">
        <f>IF(HLOOKUP($AL43&amp;"aa",[11]Feuil1!$A$27:$EP$48,5,FALSE)=FALSE,0,HLOOKUP($AL43&amp;"aa",[11]Feuil1!$A$27:$EP$48,5,FALSE))</f>
        <v>2</v>
      </c>
      <c r="AS43" s="706">
        <f>IF(OR(HLOOKUP($AL43&amp;"a",[11]Feuil1!$A$27:$EP$48,6,FALSE)=FALSE,HLOOKUP($AL43&amp;"a",[11]Feuil1!$A$27:$EP$48,6,FALSE)=""),0,HLOOKUP($AL43&amp;"a",[11]Feuil1!$A$27:$EP$48,6,FALSE))</f>
        <v>2</v>
      </c>
      <c r="AT43" s="706">
        <f>IF(HLOOKUP($AL43&amp;"aa",[11]Feuil1!$A$27:$EP$48,6,FALSE)=FALSE,0,HLOOKUP($AL43&amp;"aa",[11]Feuil1!$A$27:$EP$48,6,FALSE))</f>
        <v>2</v>
      </c>
      <c r="AU43" s="706">
        <f>IF(OR(HLOOKUP($AL43&amp;"a",[11]Feuil1!$A$27:$EP$48,7,FALSE)=FALSE,HLOOKUP($AL43&amp;"a",[11]Feuil1!$A$27:$EP$48,7,FALSE)=""),0,HLOOKUP($AL43&amp;"a",[11]Feuil1!$A$27:$EP$48,7,FALSE))</f>
        <v>0</v>
      </c>
      <c r="AV43" s="706">
        <f>IF(HLOOKUP($AL43&amp;"aa",[11]Feuil1!$A$27:$EP$48,7,FALSE)=FALSE,0,HLOOKUP($AL43&amp;"aa",[11]Feuil1!$A$27:$EP$48,7,FALSE))</f>
        <v>1</v>
      </c>
      <c r="AW43" s="706">
        <f>IF(OR(HLOOKUP($AL43&amp;"a",[11]Feuil1!$A$27:$EP$48,8,FALSE)=FALSE,HLOOKUP($AL43&amp;"a",[11]Feuil1!$A$27:$EP$48,8,FALSE)=""),0,HLOOKUP($AL43&amp;"a",[11]Feuil1!$A$27:$EP$48,8,FALSE))</f>
        <v>0</v>
      </c>
      <c r="AX43" s="706">
        <f>IF(HLOOKUP($AL43&amp;"aa",[11]Feuil1!$A$27:$EP$48,8,FALSE)=FALSE,0,HLOOKUP($AL43&amp;"aa",[11]Feuil1!$A$27:$EP$48,8,FALSE))</f>
        <v>1</v>
      </c>
      <c r="AY43" s="706">
        <f>IF(OR(HLOOKUP($AL43&amp;"a",[11]Feuil1!$A$27:$EP$48,9,FALSE)=FALSE,HLOOKUP($AL43&amp;"a",[11]Feuil1!$A$27:$EP$48,9,FALSE)=""),0,HLOOKUP($AL43&amp;"a",[11]Feuil1!$A$27:$EP$48,9,FALSE))</f>
        <v>0</v>
      </c>
      <c r="AZ43" s="706">
        <f>IF(HLOOKUP($AL43&amp;"aa",[11]Feuil1!$A$27:$EP$48,9,FALSE)=FALSE,0,HLOOKUP($AL43&amp;"aa",[11]Feuil1!$A$27:$EP$48,9,FALSE))</f>
        <v>1</v>
      </c>
      <c r="BA43" s="706">
        <f>IF(OR(HLOOKUP($AL43&amp;"a",[11]Feuil1!$A$27:$EP$48,10,FALSE)=FALSE,HLOOKUP($AL43&amp;"a",[11]Feuil1!$A$27:$EP$48,10,FALSE)=""),0,HLOOKUP($AL43&amp;"a",[11]Feuil1!$A$27:$EP$48,10,FALSE))</f>
        <v>0</v>
      </c>
      <c r="BB43" s="706">
        <f>IF(HLOOKUP($AL43&amp;"aa",[11]Feuil1!$A$27:$EP$48,10,FALSE)=FALSE,0,HLOOKUP($AL43&amp;"aa",[11]Feuil1!$A$27:$EP$48,10,FALSE))</f>
        <v>0</v>
      </c>
      <c r="BC43" s="706">
        <f>IF(OR(HLOOKUP($AL43&amp;"a",[11]Feuil1!$A$27:$EP$48,11,FALSE)=FALSE,HLOOKUP($AL43&amp;"a",[11]Feuil1!$A$27:$EP$48,11,FALSE)=""),0,HLOOKUP($AL43&amp;"a",[11]Feuil1!$A$27:$EP$48,11,FALSE))</f>
        <v>0</v>
      </c>
      <c r="BD43" s="706">
        <f>IF(HLOOKUP($AL43&amp;"aa",[11]Feuil1!$A$27:$EP$48,11,FALSE)=FALSE,0,HLOOKUP($AL43&amp;"aa",[11]Feuil1!$A$27:$EP$48,11,FALSE))</f>
        <v>0</v>
      </c>
      <c r="BE43" s="706">
        <f>IF(OR(HLOOKUP($AL43&amp;"a",[11]Feuil1!$A$27:$EP$48,12,FALSE)=FALSE,HLOOKUP($AL43&amp;"a",[11]Feuil1!$A$27:$EP$48,12,FALSE)=""),0,HLOOKUP($AL43&amp;"a",[11]Feuil1!$A$27:$EP$48,12,FALSE))</f>
        <v>0</v>
      </c>
      <c r="BF43" s="706">
        <f>IF(HLOOKUP($AL43&amp;"aa",[11]Feuil1!$A$27:$EP$48,12,FALSE)=FALSE,0,HLOOKUP($AL43&amp;"aa",[11]Feuil1!$A$27:$EP$48,12,FALSE))</f>
        <v>0</v>
      </c>
      <c r="BG43" s="706">
        <f>IF(OR(HLOOKUP($AL43&amp;"a",[11]Feuil1!$A$27:$EP$48,13,FALSE)=FALSE,HLOOKUP($AL43&amp;"a",[11]Feuil1!$A$27:$EP$48,13,FALSE)=""),0,HLOOKUP($AL43&amp;"a",[11]Feuil1!$A$27:$EP$48,13,FALSE))</f>
        <v>0</v>
      </c>
      <c r="BH43" s="706">
        <f>IF(HLOOKUP($AL43&amp;"aa",[11]Feuil1!$A$27:$EP$48,13,FALSE)=FALSE,0,HLOOKUP($AL43&amp;"aa",[11]Feuil1!$A$27:$EP$48,13,FALSE))</f>
        <v>0</v>
      </c>
      <c r="BI43" s="706">
        <f>IF(OR(HLOOKUP($AL43&amp;"a",[11]Feuil1!$A$27:$EP$48,14,FALSE)=FALSE,HLOOKUP($AL43&amp;"a",[11]Feuil1!$A$27:$EP$48,14,FALSE)=""),0,HLOOKUP($AL43&amp;"a",[11]Feuil1!$A$27:$EP$48,14,FALSE))</f>
        <v>0</v>
      </c>
      <c r="BJ43" s="706">
        <f>IF(HLOOKUP($AL43&amp;"aa",[11]Feuil1!$A$27:$EP$48,14,FALSE)=FALSE,0,HLOOKUP($AL43&amp;"aa",[11]Feuil1!$A$27:$EP$48,14,FALSE))</f>
        <v>0</v>
      </c>
      <c r="BK43" s="706">
        <f>IF(OR(HLOOKUP($AL43&amp;"a",[11]Feuil1!$A$27:$EP$48,15,FALSE)=FALSE,HLOOKUP($AL43&amp;"a",[11]Feuil1!$A$27:$EP$48,15,FALSE)=""),0,HLOOKUP($AL43&amp;"a",[11]Feuil1!$A$27:$EP$48,15,FALSE))</f>
        <v>0</v>
      </c>
      <c r="BL43" s="706">
        <f>IF(HLOOKUP($AL43&amp;"aa",[11]Feuil1!$A$27:$EP$48,15,FALSE)=FALSE,0,HLOOKUP($AL43&amp;"aa",[11]Feuil1!$A$27:$EP$48,15,FALSE))</f>
        <v>0</v>
      </c>
      <c r="BM43" s="706">
        <f>IF(OR(HLOOKUP($AL43&amp;"a",[11]Feuil1!$A$27:$EP$48,16,FALSE)=FALSE,HLOOKUP($AL43&amp;"a",[11]Feuil1!$A$27:$EP$48,16,FALSE)=""),0,HLOOKUP($AL43&amp;"a",[11]Feuil1!$A$27:$EP$48,16,FALSE))</f>
        <v>0</v>
      </c>
      <c r="BN43" s="706">
        <f>IF(HLOOKUP($AL43&amp;"aa",[11]Feuil1!$A$27:$EP$48,16,FALSE)=FALSE,0,HLOOKUP($AL43&amp;"aa",[11]Feuil1!$A$27:$EP$48,16,FALSE))</f>
        <v>0</v>
      </c>
      <c r="BO43" s="706">
        <f>IF(OR(HLOOKUP($AL43&amp;"a",[11]Feuil1!$A$27:$EP$48,17,FALSE)=FALSE,HLOOKUP($AL43&amp;"a",[11]Feuil1!$A$27:$EP$48,17,FALSE)=""),0,HLOOKUP($AL43&amp;"a",[11]Feuil1!$A$27:$EP$48,17,FALSE))</f>
        <v>0</v>
      </c>
      <c r="BP43" s="706">
        <f>IF(HLOOKUP($AL43&amp;"aa",[11]Feuil1!$A$27:$EP$48,17,FALSE)=FALSE,0,HLOOKUP($AL43&amp;"aa",[11]Feuil1!$A$27:$EP$48,17,FALSE))</f>
        <v>0</v>
      </c>
      <c r="BQ43" s="706">
        <f>IF(OR(HLOOKUP($AL43&amp;"a",[11]Feuil1!$A$27:$EP$48,18,FALSE)=FALSE,HLOOKUP($AL43&amp;"a",[11]Feuil1!$A$27:$EP$48,18,FALSE)=""),0,HLOOKUP($AL43&amp;"a",[11]Feuil1!$A$27:$EP$48,18,FALSE))</f>
        <v>0</v>
      </c>
      <c r="BR43" s="706">
        <f>IF(HLOOKUP($AL43&amp;"aa",[11]Feuil1!$A$27:$EP$48,18,FALSE)=FALSE,0,HLOOKUP($AL43&amp;"aa",[11]Feuil1!$A$27:$EP$48,18,FALSE))</f>
        <v>0</v>
      </c>
      <c r="BS43" s="707">
        <f t="shared" si="29"/>
        <v>5.1923076923076925</v>
      </c>
      <c r="BT43" s="707">
        <f t="shared" si="30"/>
        <v>6.7777777777777777</v>
      </c>
      <c r="BU43" s="707">
        <f t="shared" si="31"/>
        <v>5.6</v>
      </c>
      <c r="BV43" s="708">
        <f t="shared" ca="1" si="32"/>
        <v>56</v>
      </c>
      <c r="BW43" s="708">
        <f t="shared" ca="1" si="33"/>
        <v>17</v>
      </c>
      <c r="BX43" t="str">
        <f t="shared" si="34"/>
        <v>TRIN Kilian</v>
      </c>
      <c r="BY43" s="709">
        <v>28</v>
      </c>
      <c r="BZ43" s="710" t="s">
        <v>600</v>
      </c>
      <c r="CA43" s="711" t="s">
        <v>601</v>
      </c>
      <c r="CB43" s="709">
        <v>11</v>
      </c>
      <c r="CC43" s="712" t="s">
        <v>602</v>
      </c>
      <c r="CD43" s="709" t="s">
        <v>596</v>
      </c>
      <c r="CE43" s="591" t="e">
        <f t="shared" si="35"/>
        <v>#N/A</v>
      </c>
      <c r="CF43" s="561"/>
      <c r="CG43" s="561"/>
      <c r="CH43" s="561"/>
      <c r="CI43" s="714"/>
      <c r="CK43" s="715">
        <f t="shared" si="36"/>
        <v>18</v>
      </c>
      <c r="CL43" s="591">
        <f t="shared" si="17"/>
        <v>2</v>
      </c>
      <c r="CM43" s="716">
        <f t="shared" si="45"/>
        <v>-3.4999999999968168E-2</v>
      </c>
      <c r="CN43" s="716">
        <f t="shared" si="45"/>
        <v>5</v>
      </c>
      <c r="CO43" s="716">
        <f t="shared" si="45"/>
        <v>18</v>
      </c>
      <c r="CP43" s="716">
        <f t="shared" si="45"/>
        <v>-1</v>
      </c>
      <c r="CQ43" s="716">
        <f t="shared" si="45"/>
        <v>0</v>
      </c>
      <c r="CR43" s="716">
        <f t="shared" si="45"/>
        <v>16</v>
      </c>
      <c r="CS43" s="716">
        <f t="shared" si="45"/>
        <v>8</v>
      </c>
      <c r="CT43" s="716">
        <f t="shared" si="45"/>
        <v>8</v>
      </c>
      <c r="CU43" s="716">
        <f t="shared" si="45"/>
        <v>1.999999999998181E-2</v>
      </c>
      <c r="CV43" s="717" t="str">
        <f t="shared" si="37"/>
        <v>faux</v>
      </c>
      <c r="CW43" s="718">
        <f>IF(E43=0,"",VLOOKUP(B43,[10]liste!AU:BD,10,FALSE))</f>
        <v>2</v>
      </c>
      <c r="CX43" s="719">
        <f t="shared" si="19"/>
        <v>740.02</v>
      </c>
      <c r="CY43" s="720">
        <f t="shared" si="38"/>
        <v>7</v>
      </c>
      <c r="CZ43" s="719"/>
      <c r="DA43" s="719"/>
      <c r="DB43" s="719"/>
      <c r="DC43" s="722" t="str">
        <f t="shared" ca="1" si="20"/>
        <v>x</v>
      </c>
      <c r="DE43" s="723">
        <f t="shared" si="21"/>
        <v>686.03499999999997</v>
      </c>
      <c r="DF43" s="723">
        <f t="shared" si="22"/>
        <v>740.02</v>
      </c>
      <c r="DG43" s="697" t="str">
        <f t="shared" si="23"/>
        <v>Sail Rémy</v>
      </c>
      <c r="DH43" s="724">
        <f t="shared" si="24"/>
        <v>3</v>
      </c>
      <c r="DI43" s="724">
        <f t="shared" si="39"/>
        <v>2</v>
      </c>
      <c r="DJ43" s="719">
        <f t="shared" si="25"/>
        <v>708</v>
      </c>
      <c r="DK43" s="719" t="str">
        <f t="shared" si="26"/>
        <v/>
      </c>
      <c r="DL43" s="719" t="str">
        <f t="shared" si="40"/>
        <v/>
      </c>
      <c r="DM43" s="719"/>
      <c r="DN43" s="719"/>
      <c r="DO43" s="719"/>
      <c r="DP43" s="720">
        <f t="shared" si="41"/>
        <v>7</v>
      </c>
      <c r="DQ43" s="591">
        <f ca="1">VLOOKUP(DG43,[10]résultats!$A$2:$DE$70,109,FALSE)</f>
        <v>56</v>
      </c>
      <c r="DR43" s="591">
        <f ca="1">VLOOKUP(DG43,[10]résultats!$A$2:$DG$70,111,FALSE)</f>
        <v>73</v>
      </c>
      <c r="DT43" s="591">
        <f t="shared" si="42"/>
        <v>27</v>
      </c>
      <c r="DU43" s="591">
        <f t="shared" si="43"/>
        <v>27</v>
      </c>
    </row>
    <row r="44" spans="1:125" s="554" customFormat="1" ht="23.1" customHeight="1">
      <c r="A44" s="308">
        <f t="shared" si="9"/>
        <v>26</v>
      </c>
      <c r="B44" s="297" t="str">
        <f>IF(E44=0,"",VLOOKUP(E44,[10]liste!AM:AN,2,FALSE))</f>
        <v>Morin Léa</v>
      </c>
      <c r="C44" s="298">
        <f>IF(E44=0,"",VLOOKUP(B44,[10]liste!AN:AP,3,FALSE))</f>
        <v>6</v>
      </c>
      <c r="D44" s="691">
        <f t="shared" si="10"/>
        <v>8</v>
      </c>
      <c r="E44" s="692">
        <f>LARGE([10]liste!AM:AM,29)</f>
        <v>665.05</v>
      </c>
      <c r="F44" s="693">
        <v>676</v>
      </c>
      <c r="G44" s="693">
        <v>673</v>
      </c>
      <c r="H44" s="693">
        <v>682</v>
      </c>
      <c r="I44" s="692">
        <v>688</v>
      </c>
      <c r="J44" s="693">
        <v>698</v>
      </c>
      <c r="K44" s="693">
        <v>702</v>
      </c>
      <c r="L44" s="693">
        <v>793</v>
      </c>
      <c r="M44" s="692">
        <v>826</v>
      </c>
      <c r="N44" s="692">
        <v>802</v>
      </c>
      <c r="O44" s="694"/>
      <c r="P44" s="695">
        <f t="shared" ca="1" si="11"/>
        <v>-24</v>
      </c>
      <c r="Q44" s="170">
        <f t="shared" si="12"/>
        <v>136.95000000000005</v>
      </c>
      <c r="R44" s="696">
        <f ca="1">IF(U44&lt;MAX(U$16:U$81)/6.2,"NS",IF(B44="",0,VLOOKUP(B44,[10]résultats!AX:DH,63,FALSE)))</f>
        <v>0.42003120445445624</v>
      </c>
      <c r="S44" s="697" t="str">
        <f t="shared" si="13"/>
        <v>Morin Léa</v>
      </c>
      <c r="T44" s="171">
        <f t="shared" ca="1" si="14"/>
        <v>42</v>
      </c>
      <c r="U44" s="172">
        <f t="shared" ca="1" si="14"/>
        <v>100</v>
      </c>
      <c r="V44" s="292">
        <f ca="1">IF(B44="",0,HLOOKUP(B44&amp;"a",[11]Feuil1!$A$27:$FX$48,20,FALSE)+RAND()*0.0001)</f>
        <v>22.00009573145703</v>
      </c>
      <c r="W44" s="293">
        <f ca="1">IF(B44="",0,HLOOKUP(B44&amp;"a",[11]Feuil1!$A$27:$FX$48,21,FALSE))+RAND()*0.0001</f>
        <v>5.0000651914007115</v>
      </c>
      <c r="X44" s="725">
        <f t="shared" si="27"/>
        <v>863</v>
      </c>
      <c r="Y44" s="701">
        <f t="shared" si="15"/>
        <v>826</v>
      </c>
      <c r="Z44" s="1171"/>
      <c r="AA44" s="1175"/>
      <c r="AB44" s="1176"/>
      <c r="AC44" s="581"/>
      <c r="AD44" s="968" t="str">
        <f ca="1">IF(OR(MONTH(TODAY())=7,MONTH(TODAY())=8,MONTH(TODAY())=8),"",SUM([10]clt!T67:Z67)+SUM('[10]Coupe poule'!P58:P79)+[10]clt!Q69+[10]clt!AS69&amp;" victoires et "&amp;[10]clt!Q66+[10]clt!Q68+[10]clt!AS66+[10]clt!AS68&amp;" nuls sur "&amp;SUM([10]clt!R3:R55,[10]clt!AT3:AT55,'[10]championnat jeune'!AQ87:AQ94,'[10]championnat jeune'!AQ105:AQ112,'[10]Coupe poule'!Q74:Q79,'[10]Coupe poule'!Q58:Q70)&amp;" rencontres disputées .("&amp;ROUND((SUM([10]clt!Q3:Q55,[10]clt!AS3:AS55)+SUM('[10]Coupe poule'!P58:P79)+SUM('[10]championnat jeune'!AP87:AP94,'[10]championnat jeune'!AP105:AP112))*100/SUM([10]clt!R3:R55,[10]clt!AT3:AT55,'[10]championnat jeune'!AQ87:AQ94,'[10]championnat jeune'!AQ105:AQ112,'[10]Coupe poule'!Q74:Q79,'[10]Coupe poule'!Q58:Q70),1)&amp;" %)")</f>
        <v>34 victoires et 10 nuls sur 82 rencontres disputées .(63,4 %)</v>
      </c>
      <c r="AE44" s="969"/>
      <c r="AF44" s="972"/>
      <c r="AG44" s="971"/>
      <c r="AH44" s="971"/>
      <c r="AI44" s="971"/>
      <c r="AJ44" s="677"/>
      <c r="AK44" s="677">
        <f t="shared" si="28"/>
        <v>100</v>
      </c>
      <c r="AL44" s="705" t="str">
        <f t="shared" si="16"/>
        <v>Morin Léa</v>
      </c>
      <c r="AM44" s="706">
        <f>IF(OR(HLOOKUP($AL44&amp;"a",[11]Feuil1!$A$27:$EP$48,3,FALSE)=FALSE,HLOOKUP($AL44&amp;"a",[11]Feuil1!$A$27:$EP$48,3,FALSE)=""),0,HLOOKUP($AL44&amp;"a",[11]Feuil1!$A$27:$EP$48,3,FALSE))</f>
        <v>11</v>
      </c>
      <c r="AN44" s="706">
        <f>IF(HLOOKUP($AL44&amp;"aa",[11]Feuil1!$A$27:$EP$48,3,FALSE)=FALSE,0,HLOOKUP($AL44&amp;"aa",[11]Feuil1!$A$27:$EP$48,3,FALSE))</f>
        <v>2</v>
      </c>
      <c r="AO44" s="706">
        <f>IF(OR(HLOOKUP($AL44&amp;"a",[11]Feuil1!$A$27:$EP$48,4,FALSE)=FALSE,HLOOKUP($AL44&amp;"a",[11]Feuil1!$A$27:$EP$48,4,FALSE)=""),0,HLOOKUP($AL44&amp;"a",[11]Feuil1!$A$27:$EP$48,4,FALSE))</f>
        <v>9</v>
      </c>
      <c r="AP44" s="706">
        <f>IF(HLOOKUP($AL44&amp;"aa",[11]Feuil1!$A$27:$EP$48,4,FALSE)=FALSE,0,HLOOKUP($AL44&amp;"aa",[11]Feuil1!$A$27:$EP$48,4,FALSE))</f>
        <v>4</v>
      </c>
      <c r="AQ44" s="706">
        <f>IF(OR(HLOOKUP($AL44&amp;"a",[11]Feuil1!$A$27:$EP$48,5,FALSE)=FALSE,HLOOKUP($AL44&amp;"a",[11]Feuil1!$A$27:$EP$48,5,FALSE)=""),0,HLOOKUP($AL44&amp;"a",[11]Feuil1!$A$27:$EP$48,5,FALSE))</f>
        <v>14</v>
      </c>
      <c r="AR44" s="706">
        <f>IF(HLOOKUP($AL44&amp;"aa",[11]Feuil1!$A$27:$EP$48,5,FALSE)=FALSE,0,HLOOKUP($AL44&amp;"aa",[11]Feuil1!$A$27:$EP$48,5,FALSE))</f>
        <v>8</v>
      </c>
      <c r="AS44" s="706">
        <f>IF(OR(HLOOKUP($AL44&amp;"a",[11]Feuil1!$A$27:$EP$48,6,FALSE)=FALSE,HLOOKUP($AL44&amp;"a",[11]Feuil1!$A$27:$EP$48,6,FALSE)=""),0,HLOOKUP($AL44&amp;"a",[11]Feuil1!$A$27:$EP$48,6,FALSE))</f>
        <v>4</v>
      </c>
      <c r="AT44" s="706">
        <f>IF(HLOOKUP($AL44&amp;"aa",[11]Feuil1!$A$27:$EP$48,6,FALSE)=FALSE,0,HLOOKUP($AL44&amp;"aa",[11]Feuil1!$A$27:$EP$48,6,FALSE))</f>
        <v>9</v>
      </c>
      <c r="AU44" s="706">
        <f>IF(OR(HLOOKUP($AL44&amp;"a",[11]Feuil1!$A$27:$EP$48,7,FALSE)=FALSE,HLOOKUP($AL44&amp;"a",[11]Feuil1!$A$27:$EP$48,7,FALSE)=""),0,HLOOKUP($AL44&amp;"a",[11]Feuil1!$A$27:$EP$48,7,FALSE))</f>
        <v>1</v>
      </c>
      <c r="AV44" s="706">
        <f>IF(HLOOKUP($AL44&amp;"aa",[11]Feuil1!$A$27:$EP$48,7,FALSE)=FALSE,0,HLOOKUP($AL44&amp;"aa",[11]Feuil1!$A$27:$EP$48,7,FALSE))</f>
        <v>11</v>
      </c>
      <c r="AW44" s="706">
        <f>IF(OR(HLOOKUP($AL44&amp;"a",[11]Feuil1!$A$27:$EP$48,8,FALSE)=FALSE,HLOOKUP($AL44&amp;"a",[11]Feuil1!$A$27:$EP$48,8,FALSE)=""),0,HLOOKUP($AL44&amp;"a",[11]Feuil1!$A$27:$EP$48,8,FALSE))</f>
        <v>2</v>
      </c>
      <c r="AX44" s="706">
        <f>IF(HLOOKUP($AL44&amp;"aa",[11]Feuil1!$A$27:$EP$48,8,FALSE)=FALSE,0,HLOOKUP($AL44&amp;"aa",[11]Feuil1!$A$27:$EP$48,8,FALSE))</f>
        <v>8</v>
      </c>
      <c r="AY44" s="706">
        <f>IF(OR(HLOOKUP($AL44&amp;"a",[11]Feuil1!$A$27:$EP$48,9,FALSE)=FALSE,HLOOKUP($AL44&amp;"a",[11]Feuil1!$A$27:$EP$48,9,FALSE)=""),0,HLOOKUP($AL44&amp;"a",[11]Feuil1!$A$27:$EP$48,9,FALSE))</f>
        <v>0</v>
      </c>
      <c r="AZ44" s="706">
        <f>IF(HLOOKUP($AL44&amp;"aa",[11]Feuil1!$A$27:$EP$48,9,FALSE)=FALSE,0,HLOOKUP($AL44&amp;"aa",[11]Feuil1!$A$27:$EP$48,9,FALSE))</f>
        <v>6</v>
      </c>
      <c r="BA44" s="706">
        <f>IF(OR(HLOOKUP($AL44&amp;"a",[11]Feuil1!$A$27:$EP$48,10,FALSE)=FALSE,HLOOKUP($AL44&amp;"a",[11]Feuil1!$A$27:$EP$48,10,FALSE)=""),0,HLOOKUP($AL44&amp;"a",[11]Feuil1!$A$27:$EP$48,10,FALSE))</f>
        <v>0</v>
      </c>
      <c r="BB44" s="706">
        <f>IF(HLOOKUP($AL44&amp;"aa",[11]Feuil1!$A$27:$EP$48,10,FALSE)=FALSE,0,HLOOKUP($AL44&amp;"aa",[11]Feuil1!$A$27:$EP$48,10,FALSE))</f>
        <v>7</v>
      </c>
      <c r="BC44" s="706">
        <f>IF(OR(HLOOKUP($AL44&amp;"a",[11]Feuil1!$A$27:$EP$48,11,FALSE)=FALSE,HLOOKUP($AL44&amp;"a",[11]Feuil1!$A$27:$EP$48,11,FALSE)=""),0,HLOOKUP($AL44&amp;"a",[11]Feuil1!$A$27:$EP$48,11,FALSE))</f>
        <v>0</v>
      </c>
      <c r="BD44" s="706">
        <f>IF(HLOOKUP($AL44&amp;"aa",[11]Feuil1!$A$27:$EP$48,11,FALSE)=FALSE,0,HLOOKUP($AL44&amp;"aa",[11]Feuil1!$A$27:$EP$48,11,FALSE))</f>
        <v>3</v>
      </c>
      <c r="BE44" s="706">
        <f>IF(OR(HLOOKUP($AL44&amp;"a",[11]Feuil1!$A$27:$EP$48,12,FALSE)=FALSE,HLOOKUP($AL44&amp;"a",[11]Feuil1!$A$27:$EP$48,12,FALSE)=""),0,HLOOKUP($AL44&amp;"a",[11]Feuil1!$A$27:$EP$48,12,FALSE))</f>
        <v>0</v>
      </c>
      <c r="BF44" s="706">
        <f>IF(HLOOKUP($AL44&amp;"aa",[11]Feuil1!$A$27:$EP$48,12,FALSE)=FALSE,0,HLOOKUP($AL44&amp;"aa",[11]Feuil1!$A$27:$EP$48,12,FALSE))</f>
        <v>0</v>
      </c>
      <c r="BG44" s="706">
        <f>IF(OR(HLOOKUP($AL44&amp;"a",[11]Feuil1!$A$27:$EP$48,13,FALSE)=FALSE,HLOOKUP($AL44&amp;"a",[11]Feuil1!$A$27:$EP$48,13,FALSE)=""),0,HLOOKUP($AL44&amp;"a",[11]Feuil1!$A$27:$EP$48,13,FALSE))</f>
        <v>0</v>
      </c>
      <c r="BH44" s="706">
        <f>IF(HLOOKUP($AL44&amp;"aa",[11]Feuil1!$A$27:$EP$48,13,FALSE)=FALSE,0,HLOOKUP($AL44&amp;"aa",[11]Feuil1!$A$27:$EP$48,13,FALSE))</f>
        <v>1</v>
      </c>
      <c r="BI44" s="706">
        <f>IF(OR(HLOOKUP($AL44&amp;"a",[11]Feuil1!$A$27:$EP$48,14,FALSE)=FALSE,HLOOKUP($AL44&amp;"a",[11]Feuil1!$A$27:$EP$48,14,FALSE)=""),0,HLOOKUP($AL44&amp;"a",[11]Feuil1!$A$27:$EP$48,14,FALSE))</f>
        <v>0</v>
      </c>
      <c r="BJ44" s="706">
        <f>IF(HLOOKUP($AL44&amp;"aa",[11]Feuil1!$A$27:$EP$48,14,FALSE)=FALSE,0,HLOOKUP($AL44&amp;"aa",[11]Feuil1!$A$27:$EP$48,14,FALSE))</f>
        <v>0</v>
      </c>
      <c r="BK44" s="706">
        <f>IF(OR(HLOOKUP($AL44&amp;"a",[11]Feuil1!$A$27:$EP$48,15,FALSE)=FALSE,HLOOKUP($AL44&amp;"a",[11]Feuil1!$A$27:$EP$48,15,FALSE)=""),0,HLOOKUP($AL44&amp;"a",[11]Feuil1!$A$27:$EP$48,15,FALSE))</f>
        <v>0</v>
      </c>
      <c r="BL44" s="706">
        <f>IF(HLOOKUP($AL44&amp;"aa",[11]Feuil1!$A$27:$EP$48,15,FALSE)=FALSE,0,HLOOKUP($AL44&amp;"aa",[11]Feuil1!$A$27:$EP$48,15,FALSE))</f>
        <v>0</v>
      </c>
      <c r="BM44" s="706">
        <f>IF(OR(HLOOKUP($AL44&amp;"a",[11]Feuil1!$A$27:$EP$48,16,FALSE)=FALSE,HLOOKUP($AL44&amp;"a",[11]Feuil1!$A$27:$EP$48,16,FALSE)=""),0,HLOOKUP($AL44&amp;"a",[11]Feuil1!$A$27:$EP$48,16,FALSE))</f>
        <v>0</v>
      </c>
      <c r="BN44" s="706">
        <f>IF(HLOOKUP($AL44&amp;"aa",[11]Feuil1!$A$27:$EP$48,16,FALSE)=FALSE,0,HLOOKUP($AL44&amp;"aa",[11]Feuil1!$A$27:$EP$48,16,FALSE))</f>
        <v>0</v>
      </c>
      <c r="BO44" s="706">
        <f>IF(OR(HLOOKUP($AL44&amp;"a",[11]Feuil1!$A$27:$EP$48,17,FALSE)=FALSE,HLOOKUP($AL44&amp;"a",[11]Feuil1!$A$27:$EP$48,17,FALSE)=""),0,HLOOKUP($AL44&amp;"a",[11]Feuil1!$A$27:$EP$48,17,FALSE))</f>
        <v>0</v>
      </c>
      <c r="BP44" s="706">
        <f>IF(HLOOKUP($AL44&amp;"aa",[11]Feuil1!$A$27:$EP$48,17,FALSE)=FALSE,0,HLOOKUP($AL44&amp;"aa",[11]Feuil1!$A$27:$EP$48,17,FALSE))</f>
        <v>0</v>
      </c>
      <c r="BQ44" s="706">
        <f>IF(OR(HLOOKUP($AL44&amp;"a",[11]Feuil1!$A$27:$EP$48,18,FALSE)=FALSE,HLOOKUP($AL44&amp;"a",[11]Feuil1!$A$27:$EP$48,18,FALSE)=""),0,HLOOKUP($AL44&amp;"a",[11]Feuil1!$A$27:$EP$48,18,FALSE))</f>
        <v>0</v>
      </c>
      <c r="BR44" s="706">
        <f>IF(HLOOKUP($AL44&amp;"aa",[11]Feuil1!$A$27:$EP$48,18,FALSE)=FALSE,0,HLOOKUP($AL44&amp;"aa",[11]Feuil1!$A$27:$EP$48,18,FALSE))</f>
        <v>0</v>
      </c>
      <c r="BS44" s="707">
        <f t="shared" si="29"/>
        <v>6.5365853658536581</v>
      </c>
      <c r="BT44" s="707">
        <f t="shared" si="30"/>
        <v>9.2372881355932197</v>
      </c>
      <c r="BU44" s="707">
        <f t="shared" si="31"/>
        <v>8.1300000000000008</v>
      </c>
      <c r="BV44" s="708">
        <f t="shared" ca="1" si="32"/>
        <v>42</v>
      </c>
      <c r="BW44" s="708">
        <f t="shared" ca="1" si="33"/>
        <v>58</v>
      </c>
      <c r="BX44" t="str">
        <f t="shared" si="34"/>
        <v>VILAIN Benjamin</v>
      </c>
      <c r="BY44" s="726">
        <v>29</v>
      </c>
      <c r="BZ44" s="727" t="s">
        <v>603</v>
      </c>
      <c r="CA44" s="728" t="s">
        <v>604</v>
      </c>
      <c r="CB44" s="726">
        <v>9</v>
      </c>
      <c r="CC44" s="729" t="s">
        <v>605</v>
      </c>
      <c r="CD44" s="726" t="s">
        <v>525</v>
      </c>
      <c r="CE44" s="591" t="str">
        <f t="shared" si="35"/>
        <v>523.00</v>
      </c>
      <c r="CF44" s="561"/>
      <c r="CG44" s="561"/>
      <c r="CH44" s="561"/>
      <c r="CI44" s="714"/>
      <c r="CK44" s="715">
        <f t="shared" si="36"/>
        <v>91</v>
      </c>
      <c r="CL44" s="591">
        <f t="shared" si="17"/>
        <v>2</v>
      </c>
      <c r="CM44" s="716">
        <f t="shared" si="45"/>
        <v>10.950000000000045</v>
      </c>
      <c r="CN44" s="716">
        <f t="shared" si="45"/>
        <v>-3</v>
      </c>
      <c r="CO44" s="716">
        <f t="shared" si="45"/>
        <v>9</v>
      </c>
      <c r="CP44" s="716">
        <f t="shared" si="45"/>
        <v>6</v>
      </c>
      <c r="CQ44" s="716">
        <f t="shared" si="45"/>
        <v>10</v>
      </c>
      <c r="CR44" s="716">
        <f t="shared" si="45"/>
        <v>4</v>
      </c>
      <c r="CS44" s="716">
        <f t="shared" si="45"/>
        <v>91</v>
      </c>
      <c r="CT44" s="716">
        <f t="shared" si="45"/>
        <v>33</v>
      </c>
      <c r="CU44" s="716">
        <f t="shared" si="45"/>
        <v>-24</v>
      </c>
      <c r="CV44" s="717" t="str">
        <f t="shared" si="37"/>
        <v>faux</v>
      </c>
      <c r="CW44" s="718">
        <f>IF(E44=0,"",VLOOKUP(B44,[10]liste!AU:BD,10,FALSE))</f>
        <v>1</v>
      </c>
      <c r="CX44" s="719">
        <f t="shared" si="19"/>
        <v>802</v>
      </c>
      <c r="CY44" s="720">
        <f t="shared" si="38"/>
        <v>8</v>
      </c>
      <c r="CZ44" s="719"/>
      <c r="DA44" s="719"/>
      <c r="DB44" s="719"/>
      <c r="DC44" s="722" t="str">
        <f t="shared" ca="1" si="20"/>
        <v/>
      </c>
      <c r="DE44" s="723" t="str">
        <f t="shared" si="21"/>
        <v/>
      </c>
      <c r="DF44" s="723" t="str">
        <f t="shared" si="22"/>
        <v/>
      </c>
      <c r="DG44" s="697" t="str">
        <f t="shared" si="23"/>
        <v>Morin Léa</v>
      </c>
      <c r="DH44" s="724">
        <f t="shared" si="24"/>
        <v>5</v>
      </c>
      <c r="DI44" s="724">
        <f t="shared" si="39"/>
        <v>1</v>
      </c>
      <c r="DJ44" s="719">
        <f t="shared" si="25"/>
        <v>688</v>
      </c>
      <c r="DK44" s="719">
        <f t="shared" si="26"/>
        <v>665.05</v>
      </c>
      <c r="DL44" s="719">
        <f t="shared" si="40"/>
        <v>802</v>
      </c>
      <c r="DM44" s="719"/>
      <c r="DN44" s="719"/>
      <c r="DO44" s="719"/>
      <c r="DP44" s="720">
        <f t="shared" si="41"/>
        <v>6</v>
      </c>
      <c r="DQ44" s="591">
        <f ca="1">VLOOKUP(DG44,[10]résultats!$A$2:$DE$70,109,FALSE)</f>
        <v>42</v>
      </c>
      <c r="DR44" s="591">
        <f ca="1">VLOOKUP(DG44,[10]résultats!$A$2:$DG$70,111,FALSE)</f>
        <v>100</v>
      </c>
      <c r="DT44" s="591">
        <f t="shared" si="42"/>
        <v>29</v>
      </c>
      <c r="DU44" s="591">
        <f t="shared" si="43"/>
        <v>24</v>
      </c>
    </row>
    <row r="45" spans="1:125" s="554" customFormat="1" ht="23.1" customHeight="1">
      <c r="A45" s="308">
        <f t="shared" si="9"/>
        <v>34</v>
      </c>
      <c r="B45" s="297" t="str">
        <f>IF(E45=0,"",VLOOKUP(E45,[10]liste!AM:AN,2,FALSE))</f>
        <v>Craineguy David</v>
      </c>
      <c r="C45" s="298">
        <f>IF(E45=0,"",VLOOKUP(B45,[10]liste!AN:AP,3,FALSE))</f>
        <v>6</v>
      </c>
      <c r="D45" s="691">
        <f t="shared" si="10"/>
        <v>6</v>
      </c>
      <c r="E45" s="692">
        <f>LARGE([10]liste!AM:AM,30)</f>
        <v>665.01900000000001</v>
      </c>
      <c r="F45" s="693">
        <v>665</v>
      </c>
      <c r="G45" s="693">
        <v>665</v>
      </c>
      <c r="H45" s="693">
        <v>677</v>
      </c>
      <c r="I45" s="692">
        <v>677</v>
      </c>
      <c r="J45" s="693">
        <v>677</v>
      </c>
      <c r="K45" s="693">
        <v>667</v>
      </c>
      <c r="L45" s="693">
        <v>653</v>
      </c>
      <c r="M45" s="692">
        <v>646</v>
      </c>
      <c r="N45" s="692">
        <v>646</v>
      </c>
      <c r="O45" s="694"/>
      <c r="P45" s="695">
        <f t="shared" ca="1" si="11"/>
        <v>0</v>
      </c>
      <c r="Q45" s="170">
        <f t="shared" si="12"/>
        <v>-19.019000000000005</v>
      </c>
      <c r="R45" s="696" t="str">
        <f ca="1">IF(U45&lt;MAX(U$16:U$81)/6.2,"NS",IF(B45="",0,VLOOKUP(B45,[10]résultats!AX:DH,63,FALSE)))</f>
        <v>NS</v>
      </c>
      <c r="S45" s="697" t="str">
        <f t="shared" si="13"/>
        <v>Craineguy David</v>
      </c>
      <c r="T45" s="171">
        <f t="shared" ca="1" si="14"/>
        <v>6</v>
      </c>
      <c r="U45" s="172">
        <f t="shared" ca="1" si="14"/>
        <v>15</v>
      </c>
      <c r="V45" s="292">
        <f ca="1">IF(B45="",0,HLOOKUP(B45&amp;"a",[11]Feuil1!$A$27:$FX$48,20,FALSE)+RAND()*0.0001)</f>
        <v>5.1176253034137635E-5</v>
      </c>
      <c r="W45" s="293">
        <f ca="1">IF(B45="",0,HLOOKUP(B45&amp;"a",[11]Feuil1!$A$27:$FX$48,21,FALSE))+RAND()*0.0001</f>
        <v>3.0000349993274167</v>
      </c>
      <c r="X45" s="725">
        <f t="shared" si="27"/>
        <v>610</v>
      </c>
      <c r="Y45" s="701">
        <f t="shared" si="15"/>
        <v>677</v>
      </c>
      <c r="Z45" s="1171"/>
      <c r="AA45" s="1175"/>
      <c r="AB45" s="1176"/>
      <c r="AC45" s="581"/>
      <c r="AD45" s="968" t="str">
        <f ca="1">'[10]championnat féminin'!J27+[10]clt!Q1+[10]clt!AS1+'[10]Coupe poule'!C44+'[10]Coupe poule'!C15+'[10]Coupe poule'!Z25+'[10]championnat jeune'!J21+'[10]championnat jeune'!J62&amp;" doubles gagnés sur "&amp;'[10]championnat féminin'!J27+'[10]championnat féminin'!K27+'[10]championnat jeune'!J62+'[10]championnat jeune'!K62+'[10]championnat jeune'!J21+'[10]championnat jeune'!K21+'[10]Coupe poule'!G15+'[10]Coupe poule'!G44+'[10]Coupe poule'!AD25+[10]clt!R1+[10]clt!AT1&amp;" disputés ( "&amp;ROUND(100*('[10]résultats commentaires'!M34+'[10]résultats commentaires'!M57+'[10]résultats commentaires'!M80+'[10]résultats commentaires'!M126+'[10]résultats commentaires'!M103+'[10]résultats commentaires'!M150+'[10]Coupe poule'!C44+'[10]Coupe poule'!C15+'[10]Coupe poule'!Z25+'[10]championnat jeune'!J21+'[10]championnat jeune'!J62)/('[10]championnat jeune'!J62+'[10]championnat jeune'!K62+'[10]championnat jeune'!J21+'[10]championnat jeune'!K21+'[10]Coupe poule'!G15+'[10]Coupe poule'!G44+'[10]Coupe poule'!AD25+'[10]résultats commentaires'!N34+'[10]résultats commentaires'!N57+'[10]résultats commentaires'!N80+'[10]résultats commentaires'!N126+'[10]résultats commentaires'!N103+'[10]résultats commentaires'!N150),1)&amp;"% )"</f>
        <v>101 doubles gagnés sur 200 disputés ( 73% )</v>
      </c>
      <c r="AE45" s="969"/>
      <c r="AF45" s="972"/>
      <c r="AG45" s="971"/>
      <c r="AH45" s="971"/>
      <c r="AI45" s="971"/>
      <c r="AJ45" s="677"/>
      <c r="AK45" s="677">
        <f t="shared" si="28"/>
        <v>15</v>
      </c>
      <c r="AL45" s="705" t="str">
        <f t="shared" si="16"/>
        <v>Craineguy David</v>
      </c>
      <c r="AM45" s="706">
        <f>IF(OR(HLOOKUP($AL45&amp;"a",[11]Feuil1!$A$27:$EP$48,3,FALSE)=FALSE,HLOOKUP($AL45&amp;"a",[11]Feuil1!$A$27:$EP$48,3,FALSE)=""),0,HLOOKUP($AL45&amp;"a",[11]Feuil1!$A$27:$EP$48,3,FALSE))</f>
        <v>8</v>
      </c>
      <c r="AN45" s="706">
        <f>IF(HLOOKUP($AL45&amp;"aa",[11]Feuil1!$A$27:$EP$48,3,FALSE)=FALSE,0,HLOOKUP($AL45&amp;"aa",[11]Feuil1!$A$27:$EP$48,3,FALSE))</f>
        <v>1</v>
      </c>
      <c r="AO45" s="706">
        <f>IF(OR(HLOOKUP($AL45&amp;"a",[11]Feuil1!$A$27:$EP$48,4,FALSE)=FALSE,HLOOKUP($AL45&amp;"a",[11]Feuil1!$A$27:$EP$48,4,FALSE)=""),0,HLOOKUP($AL45&amp;"a",[11]Feuil1!$A$27:$EP$48,4,FALSE))</f>
        <v>1</v>
      </c>
      <c r="AP45" s="706">
        <f>IF(HLOOKUP($AL45&amp;"aa",[11]Feuil1!$A$27:$EP$48,4,FALSE)=FALSE,0,HLOOKUP($AL45&amp;"aa",[11]Feuil1!$A$27:$EP$48,4,FALSE))</f>
        <v>3</v>
      </c>
      <c r="AQ45" s="706">
        <f>IF(OR(HLOOKUP($AL45&amp;"a",[11]Feuil1!$A$27:$EP$48,5,FALSE)=FALSE,HLOOKUP($AL45&amp;"a",[11]Feuil1!$A$27:$EP$48,5,FALSE)=""),0,HLOOKUP($AL45&amp;"a",[11]Feuil1!$A$27:$EP$48,5,FALSE))</f>
        <v>0</v>
      </c>
      <c r="AR45" s="706">
        <f>IF(HLOOKUP($AL45&amp;"aa",[11]Feuil1!$A$27:$EP$48,5,FALSE)=FALSE,0,HLOOKUP($AL45&amp;"aa",[11]Feuil1!$A$27:$EP$48,5,FALSE))</f>
        <v>1</v>
      </c>
      <c r="AS45" s="706">
        <f>IF(OR(HLOOKUP($AL45&amp;"a",[11]Feuil1!$A$27:$EP$48,6,FALSE)=FALSE,HLOOKUP($AL45&amp;"a",[11]Feuil1!$A$27:$EP$48,6,FALSE)=""),0,HLOOKUP($AL45&amp;"a",[11]Feuil1!$A$27:$EP$48,6,FALSE))</f>
        <v>0</v>
      </c>
      <c r="AT45" s="706">
        <f>IF(HLOOKUP($AL45&amp;"aa",[11]Feuil1!$A$27:$EP$48,6,FALSE)=FALSE,0,HLOOKUP($AL45&amp;"aa",[11]Feuil1!$A$27:$EP$48,6,FALSE))</f>
        <v>1</v>
      </c>
      <c r="AU45" s="706">
        <f>IF(OR(HLOOKUP($AL45&amp;"a",[11]Feuil1!$A$27:$EP$48,7,FALSE)=FALSE,HLOOKUP($AL45&amp;"a",[11]Feuil1!$A$27:$EP$48,7,FALSE)=""),0,HLOOKUP($AL45&amp;"a",[11]Feuil1!$A$27:$EP$48,7,FALSE))</f>
        <v>0</v>
      </c>
      <c r="AV45" s="706">
        <f>IF(HLOOKUP($AL45&amp;"aa",[11]Feuil1!$A$27:$EP$48,7,FALSE)=FALSE,0,HLOOKUP($AL45&amp;"aa",[11]Feuil1!$A$27:$EP$48,7,FALSE))</f>
        <v>0</v>
      </c>
      <c r="AW45" s="706">
        <f>IF(OR(HLOOKUP($AL45&amp;"a",[11]Feuil1!$A$27:$EP$48,8,FALSE)=FALSE,HLOOKUP($AL45&amp;"a",[11]Feuil1!$A$27:$EP$48,8,FALSE)=""),0,HLOOKUP($AL45&amp;"a",[11]Feuil1!$A$27:$EP$48,8,FALSE))</f>
        <v>0</v>
      </c>
      <c r="AX45" s="706">
        <f>IF(HLOOKUP($AL45&amp;"aa",[11]Feuil1!$A$27:$EP$48,8,FALSE)=FALSE,0,HLOOKUP($AL45&amp;"aa",[11]Feuil1!$A$27:$EP$48,8,FALSE))</f>
        <v>0</v>
      </c>
      <c r="AY45" s="706">
        <f>IF(OR(HLOOKUP($AL45&amp;"a",[11]Feuil1!$A$27:$EP$48,9,FALSE)=FALSE,HLOOKUP($AL45&amp;"a",[11]Feuil1!$A$27:$EP$48,9,FALSE)=""),0,HLOOKUP($AL45&amp;"a",[11]Feuil1!$A$27:$EP$48,9,FALSE))</f>
        <v>0</v>
      </c>
      <c r="AZ45" s="706">
        <f>IF(HLOOKUP($AL45&amp;"aa",[11]Feuil1!$A$27:$EP$48,9,FALSE)=FALSE,0,HLOOKUP($AL45&amp;"aa",[11]Feuil1!$A$27:$EP$48,9,FALSE))</f>
        <v>0</v>
      </c>
      <c r="BA45" s="706">
        <f>IF(OR(HLOOKUP($AL45&amp;"a",[11]Feuil1!$A$27:$EP$48,10,FALSE)=FALSE,HLOOKUP($AL45&amp;"a",[11]Feuil1!$A$27:$EP$48,10,FALSE)=""),0,HLOOKUP($AL45&amp;"a",[11]Feuil1!$A$27:$EP$48,10,FALSE))</f>
        <v>0</v>
      </c>
      <c r="BB45" s="706">
        <f>IF(HLOOKUP($AL45&amp;"aa",[11]Feuil1!$A$27:$EP$48,10,FALSE)=FALSE,0,HLOOKUP($AL45&amp;"aa",[11]Feuil1!$A$27:$EP$48,10,FALSE))</f>
        <v>0</v>
      </c>
      <c r="BC45" s="706">
        <f>IF(OR(HLOOKUP($AL45&amp;"a",[11]Feuil1!$A$27:$EP$48,11,FALSE)=FALSE,HLOOKUP($AL45&amp;"a",[11]Feuil1!$A$27:$EP$48,11,FALSE)=""),0,HLOOKUP($AL45&amp;"a",[11]Feuil1!$A$27:$EP$48,11,FALSE))</f>
        <v>0</v>
      </c>
      <c r="BD45" s="706">
        <f>IF(HLOOKUP($AL45&amp;"aa",[11]Feuil1!$A$27:$EP$48,11,FALSE)=FALSE,0,HLOOKUP($AL45&amp;"aa",[11]Feuil1!$A$27:$EP$48,11,FALSE))</f>
        <v>0</v>
      </c>
      <c r="BE45" s="706">
        <f>IF(OR(HLOOKUP($AL45&amp;"a",[11]Feuil1!$A$27:$EP$48,12,FALSE)=FALSE,HLOOKUP($AL45&amp;"a",[11]Feuil1!$A$27:$EP$48,12,FALSE)=""),0,HLOOKUP($AL45&amp;"a",[11]Feuil1!$A$27:$EP$48,12,FALSE))</f>
        <v>0</v>
      </c>
      <c r="BF45" s="706">
        <f>IF(HLOOKUP($AL45&amp;"aa",[11]Feuil1!$A$27:$EP$48,12,FALSE)=FALSE,0,HLOOKUP($AL45&amp;"aa",[11]Feuil1!$A$27:$EP$48,12,FALSE))</f>
        <v>0</v>
      </c>
      <c r="BG45" s="706">
        <f>IF(OR(HLOOKUP($AL45&amp;"a",[11]Feuil1!$A$27:$EP$48,13,FALSE)=FALSE,HLOOKUP($AL45&amp;"a",[11]Feuil1!$A$27:$EP$48,13,FALSE)=""),0,HLOOKUP($AL45&amp;"a",[11]Feuil1!$A$27:$EP$48,13,FALSE))</f>
        <v>0</v>
      </c>
      <c r="BH45" s="706">
        <f>IF(HLOOKUP($AL45&amp;"aa",[11]Feuil1!$A$27:$EP$48,13,FALSE)=FALSE,0,HLOOKUP($AL45&amp;"aa",[11]Feuil1!$A$27:$EP$48,13,FALSE))</f>
        <v>0</v>
      </c>
      <c r="BI45" s="706">
        <f>IF(OR(HLOOKUP($AL45&amp;"a",[11]Feuil1!$A$27:$EP$48,14,FALSE)=FALSE,HLOOKUP($AL45&amp;"a",[11]Feuil1!$A$27:$EP$48,14,FALSE)=""),0,HLOOKUP($AL45&amp;"a",[11]Feuil1!$A$27:$EP$48,14,FALSE))</f>
        <v>0</v>
      </c>
      <c r="BJ45" s="706">
        <f>IF(HLOOKUP($AL45&amp;"aa",[11]Feuil1!$A$27:$EP$48,14,FALSE)=FALSE,0,HLOOKUP($AL45&amp;"aa",[11]Feuil1!$A$27:$EP$48,14,FALSE))</f>
        <v>0</v>
      </c>
      <c r="BK45" s="706">
        <f>IF(OR(HLOOKUP($AL45&amp;"a",[11]Feuil1!$A$27:$EP$48,15,FALSE)=FALSE,HLOOKUP($AL45&amp;"a",[11]Feuil1!$A$27:$EP$48,15,FALSE)=""),0,HLOOKUP($AL45&amp;"a",[11]Feuil1!$A$27:$EP$48,15,FALSE))</f>
        <v>0</v>
      </c>
      <c r="BL45" s="706">
        <f>IF(HLOOKUP($AL45&amp;"aa",[11]Feuil1!$A$27:$EP$48,15,FALSE)=FALSE,0,HLOOKUP($AL45&amp;"aa",[11]Feuil1!$A$27:$EP$48,15,FALSE))</f>
        <v>0</v>
      </c>
      <c r="BM45" s="706">
        <f>IF(OR(HLOOKUP($AL45&amp;"a",[11]Feuil1!$A$27:$EP$48,16,FALSE)=FALSE,HLOOKUP($AL45&amp;"a",[11]Feuil1!$A$27:$EP$48,16,FALSE)=""),0,HLOOKUP($AL45&amp;"a",[11]Feuil1!$A$27:$EP$48,16,FALSE))</f>
        <v>0</v>
      </c>
      <c r="BN45" s="706">
        <f>IF(HLOOKUP($AL45&amp;"aa",[11]Feuil1!$A$27:$EP$48,16,FALSE)=FALSE,0,HLOOKUP($AL45&amp;"aa",[11]Feuil1!$A$27:$EP$48,16,FALSE))</f>
        <v>0</v>
      </c>
      <c r="BO45" s="706">
        <f>IF(OR(HLOOKUP($AL45&amp;"a",[11]Feuil1!$A$27:$EP$48,17,FALSE)=FALSE,HLOOKUP($AL45&amp;"a",[11]Feuil1!$A$27:$EP$48,17,FALSE)=""),0,HLOOKUP($AL45&amp;"a",[11]Feuil1!$A$27:$EP$48,17,FALSE))</f>
        <v>0</v>
      </c>
      <c r="BP45" s="706">
        <f>IF(HLOOKUP($AL45&amp;"aa",[11]Feuil1!$A$27:$EP$48,17,FALSE)=FALSE,0,HLOOKUP($AL45&amp;"aa",[11]Feuil1!$A$27:$EP$48,17,FALSE))</f>
        <v>0</v>
      </c>
      <c r="BQ45" s="706">
        <f>IF(OR(HLOOKUP($AL45&amp;"a",[11]Feuil1!$A$27:$EP$48,18,FALSE)=FALSE,HLOOKUP($AL45&amp;"a",[11]Feuil1!$A$27:$EP$48,18,FALSE)=""),0,HLOOKUP($AL45&amp;"a",[11]Feuil1!$A$27:$EP$48,18,FALSE))</f>
        <v>0</v>
      </c>
      <c r="BR45" s="706">
        <f>IF(HLOOKUP($AL45&amp;"aa",[11]Feuil1!$A$27:$EP$48,18,FALSE)=FALSE,0,HLOOKUP($AL45&amp;"aa",[11]Feuil1!$A$27:$EP$48,18,FALSE))</f>
        <v>0</v>
      </c>
      <c r="BS45" s="707">
        <f t="shared" si="29"/>
        <v>5.1111111111111107</v>
      </c>
      <c r="BT45" s="707">
        <f t="shared" si="30"/>
        <v>6.333333333333333</v>
      </c>
      <c r="BU45" s="707">
        <f t="shared" si="31"/>
        <v>5.6</v>
      </c>
      <c r="BV45" s="708">
        <f t="shared" ca="1" si="32"/>
        <v>6</v>
      </c>
      <c r="BW45" s="708">
        <f t="shared" ca="1" si="33"/>
        <v>9</v>
      </c>
      <c r="BX45" t="str">
        <f t="shared" si="34"/>
        <v>ZARAGOZA José</v>
      </c>
      <c r="BY45" s="709">
        <v>30</v>
      </c>
      <c r="BZ45" s="710" t="s">
        <v>606</v>
      </c>
      <c r="CA45" s="711" t="s">
        <v>607</v>
      </c>
      <c r="CB45" s="709">
        <v>10</v>
      </c>
      <c r="CC45" s="712" t="s">
        <v>608</v>
      </c>
      <c r="CD45" s="709" t="s">
        <v>525</v>
      </c>
      <c r="CE45" s="591" t="str">
        <f t="shared" si="35"/>
        <v>639.00</v>
      </c>
      <c r="CF45" s="561"/>
      <c r="CG45" s="561"/>
      <c r="CH45" s="561"/>
      <c r="CI45" s="714"/>
      <c r="CK45" s="715">
        <f t="shared" si="36"/>
        <v>12</v>
      </c>
      <c r="CL45" s="591">
        <f t="shared" si="17"/>
        <v>0</v>
      </c>
      <c r="CM45" s="716">
        <f t="shared" si="45"/>
        <v>-1.9000000000005457E-2</v>
      </c>
      <c r="CN45" s="716">
        <f t="shared" si="45"/>
        <v>0</v>
      </c>
      <c r="CO45" s="716">
        <f t="shared" si="45"/>
        <v>12</v>
      </c>
      <c r="CP45" s="716">
        <f t="shared" si="45"/>
        <v>0</v>
      </c>
      <c r="CQ45" s="716">
        <f t="shared" si="45"/>
        <v>0</v>
      </c>
      <c r="CR45" s="716">
        <f t="shared" si="45"/>
        <v>-10</v>
      </c>
      <c r="CS45" s="716">
        <f t="shared" si="45"/>
        <v>-14</v>
      </c>
      <c r="CT45" s="716">
        <f t="shared" si="45"/>
        <v>-7</v>
      </c>
      <c r="CU45" s="716">
        <f t="shared" si="45"/>
        <v>0</v>
      </c>
      <c r="CV45" s="717" t="str">
        <f t="shared" si="37"/>
        <v>faux</v>
      </c>
      <c r="CW45" s="718">
        <f>IF(E45=0,"",VLOOKUP(B45,[10]liste!AU:BD,10,FALSE))</f>
        <v>2</v>
      </c>
      <c r="CX45" s="719">
        <f t="shared" si="19"/>
        <v>646</v>
      </c>
      <c r="CY45" s="720">
        <f t="shared" si="38"/>
        <v>6</v>
      </c>
      <c r="CZ45" s="719"/>
      <c r="DA45" s="719"/>
      <c r="DB45" s="719"/>
      <c r="DC45" s="722" t="str">
        <f t="shared" ca="1" si="20"/>
        <v/>
      </c>
      <c r="DE45" s="723">
        <f t="shared" si="21"/>
        <v>665.01900000000001</v>
      </c>
      <c r="DF45" s="723">
        <f t="shared" si="22"/>
        <v>646</v>
      </c>
      <c r="DG45" s="697" t="str">
        <f t="shared" si="23"/>
        <v>Craineguy David</v>
      </c>
      <c r="DH45" s="724">
        <f t="shared" si="24"/>
        <v>-2</v>
      </c>
      <c r="DI45" s="724">
        <f t="shared" si="39"/>
        <v>2</v>
      </c>
      <c r="DJ45" s="719">
        <f t="shared" si="25"/>
        <v>677</v>
      </c>
      <c r="DK45" s="719" t="str">
        <f t="shared" si="26"/>
        <v/>
      </c>
      <c r="DL45" s="719" t="str">
        <f t="shared" si="40"/>
        <v/>
      </c>
      <c r="DM45" s="719"/>
      <c r="DN45" s="719"/>
      <c r="DO45" s="719"/>
      <c r="DP45" s="720">
        <f t="shared" si="41"/>
        <v>6</v>
      </c>
      <c r="DQ45" s="591">
        <f ca="1">VLOOKUP(DG45,[10]résultats!$A$2:$DE$70,109,FALSE)</f>
        <v>6</v>
      </c>
      <c r="DR45" s="591">
        <f ca="1">VLOOKUP(DG45,[10]résultats!$A$2:$DG$70,111,FALSE)</f>
        <v>15</v>
      </c>
      <c r="DT45" s="591">
        <f t="shared" si="42"/>
        <v>30</v>
      </c>
      <c r="DU45" s="591">
        <f t="shared" si="43"/>
        <v>34</v>
      </c>
    </row>
    <row r="46" spans="1:125" s="554" customFormat="1" ht="23.1" customHeight="1">
      <c r="A46" s="308">
        <f t="shared" si="9"/>
        <v>35</v>
      </c>
      <c r="B46" s="297" t="str">
        <f>IF(E46=0,"",VLOOKUP(E46,[10]liste!AM:AN,2,FALSE))</f>
        <v>Le Cam Corentin</v>
      </c>
      <c r="C46" s="298">
        <f>IF(E46=0,"",VLOOKUP(B46,[10]liste!AN:AP,3,FALSE))</f>
        <v>6</v>
      </c>
      <c r="D46" s="691">
        <f t="shared" si="10"/>
        <v>6</v>
      </c>
      <c r="E46" s="692">
        <f>LARGE([10]liste!AM:AM,31)</f>
        <v>649.08399999999995</v>
      </c>
      <c r="F46" s="693">
        <v>645</v>
      </c>
      <c r="G46" s="693">
        <v>650</v>
      </c>
      <c r="H46" s="693">
        <v>666</v>
      </c>
      <c r="I46" s="692">
        <v>646</v>
      </c>
      <c r="J46" s="693">
        <v>647</v>
      </c>
      <c r="K46" s="693">
        <v>646</v>
      </c>
      <c r="L46" s="693">
        <v>647</v>
      </c>
      <c r="M46" s="692">
        <v>635</v>
      </c>
      <c r="N46" s="692">
        <v>635</v>
      </c>
      <c r="O46" s="694"/>
      <c r="P46" s="695">
        <f t="shared" ca="1" si="11"/>
        <v>0</v>
      </c>
      <c r="Q46" s="170">
        <f t="shared" si="12"/>
        <v>-14.083999999999946</v>
      </c>
      <c r="R46" s="696">
        <f ca="1">IF(U46&lt;MAX(U$16:U$81)/6.2,"NS",IF(B46="",0,VLOOKUP(B46,[10]résultats!AX:DH,63,FALSE)))</f>
        <v>0.25926192325617586</v>
      </c>
      <c r="S46" s="697" t="str">
        <f t="shared" si="13"/>
        <v>Le Cam Corentin</v>
      </c>
      <c r="T46" s="171">
        <f t="shared" ca="1" si="14"/>
        <v>7</v>
      </c>
      <c r="U46" s="172">
        <f t="shared" ca="1" si="14"/>
        <v>27</v>
      </c>
      <c r="V46" s="292">
        <f ca="1">IF(B46="",0,HLOOKUP(B46&amp;"a",[11]Feuil1!$A$27:$FX$48,20,FALSE)+RAND()*0.0001)</f>
        <v>3.0000334199556393</v>
      </c>
      <c r="W46" s="293">
        <f ca="1">IF(B46="",0,HLOOKUP(B46&amp;"a",[11]Feuil1!$A$27:$FX$48,21,FALSE))+RAND()*0.0001</f>
        <v>3.0000853121529176</v>
      </c>
      <c r="X46" s="725">
        <f t="shared" si="27"/>
        <v>725</v>
      </c>
      <c r="Y46" s="701">
        <f t="shared" si="15"/>
        <v>666</v>
      </c>
      <c r="Z46" s="1171"/>
      <c r="AA46" s="1175"/>
      <c r="AB46" s="1176"/>
      <c r="AC46" s="581"/>
      <c r="AD46" s="747" t="str">
        <f>IF(COUNTIF('points et TOP'!CL16:CL84,1)&gt;1,COUNTIF('points et TOP'!CL16:CL84,1)&amp;" joueurs ont perdu au moins un classement soit "&amp;ROUND(COUNTIF('points et TOP'!CL16:CL84,1)/(C22+D22),2)*100&amp;" %",IF(COUNTIF('points et TOP'!CL16:CL84,1)=1,COUNTIF('points et TOP'!CL16:CL84,1)&amp;" joueur a perdu au moins un classement.",""))</f>
        <v>5 joueurs ont perdu au moins un classement soit 18 %</v>
      </c>
      <c r="AE46" s="748"/>
      <c r="AF46" s="749"/>
      <c r="AG46" s="750"/>
      <c r="AH46" s="750"/>
      <c r="AI46" s="751"/>
      <c r="AJ46" s="677"/>
      <c r="AK46" s="677">
        <f t="shared" si="28"/>
        <v>24</v>
      </c>
      <c r="AL46" s="705" t="str">
        <f t="shared" si="16"/>
        <v>Le Cam Corentin</v>
      </c>
      <c r="AM46" s="706">
        <f>IF(OR(HLOOKUP($AL46&amp;"a",[11]Feuil1!$A$27:$EP$48,3,FALSE)=FALSE,HLOOKUP($AL46&amp;"a",[11]Feuil1!$A$27:$EP$48,3,FALSE)=""),0,HLOOKUP($AL46&amp;"a",[11]Feuil1!$A$27:$EP$48,3,FALSE))</f>
        <v>3</v>
      </c>
      <c r="AN46" s="706">
        <f>IF(HLOOKUP($AL46&amp;"aa",[11]Feuil1!$A$27:$EP$48,3,FALSE)=FALSE,0,HLOOKUP($AL46&amp;"aa",[11]Feuil1!$A$27:$EP$48,3,FALSE))</f>
        <v>2</v>
      </c>
      <c r="AO46" s="706">
        <f>IF(OR(HLOOKUP($AL46&amp;"a",[11]Feuil1!$A$27:$EP$48,4,FALSE)=FALSE,HLOOKUP($AL46&amp;"a",[11]Feuil1!$A$27:$EP$48,4,FALSE)=""),0,HLOOKUP($AL46&amp;"a",[11]Feuil1!$A$27:$EP$48,4,FALSE))</f>
        <v>4</v>
      </c>
      <c r="AP46" s="706">
        <f>IF(HLOOKUP($AL46&amp;"aa",[11]Feuil1!$A$27:$EP$48,4,FALSE)=FALSE,0,HLOOKUP($AL46&amp;"aa",[11]Feuil1!$A$27:$EP$48,4,FALSE))</f>
        <v>3</v>
      </c>
      <c r="AQ46" s="706">
        <f>IF(OR(HLOOKUP($AL46&amp;"a",[11]Feuil1!$A$27:$EP$48,5,FALSE)=FALSE,HLOOKUP($AL46&amp;"a",[11]Feuil1!$A$27:$EP$48,5,FALSE)=""),0,HLOOKUP($AL46&amp;"a",[11]Feuil1!$A$27:$EP$48,5,FALSE))</f>
        <v>0</v>
      </c>
      <c r="AR46" s="706">
        <f>IF(HLOOKUP($AL46&amp;"aa",[11]Feuil1!$A$27:$EP$48,5,FALSE)=FALSE,0,HLOOKUP($AL46&amp;"aa",[11]Feuil1!$A$27:$EP$48,5,FALSE))</f>
        <v>6</v>
      </c>
      <c r="AS46" s="706">
        <f>IF(OR(HLOOKUP($AL46&amp;"a",[11]Feuil1!$A$27:$EP$48,6,FALSE)=FALSE,HLOOKUP($AL46&amp;"a",[11]Feuil1!$A$27:$EP$48,6,FALSE)=""),0,HLOOKUP($AL46&amp;"a",[11]Feuil1!$A$27:$EP$48,6,FALSE))</f>
        <v>0</v>
      </c>
      <c r="AT46" s="706">
        <f>IF(HLOOKUP($AL46&amp;"aa",[11]Feuil1!$A$27:$EP$48,6,FALSE)=FALSE,0,HLOOKUP($AL46&amp;"aa",[11]Feuil1!$A$27:$EP$48,6,FALSE))</f>
        <v>3</v>
      </c>
      <c r="AU46" s="706">
        <f>IF(OR(HLOOKUP($AL46&amp;"a",[11]Feuil1!$A$27:$EP$48,7,FALSE)=FALSE,HLOOKUP($AL46&amp;"a",[11]Feuil1!$A$27:$EP$48,7,FALSE)=""),0,HLOOKUP($AL46&amp;"a",[11]Feuil1!$A$27:$EP$48,7,FALSE))</f>
        <v>0</v>
      </c>
      <c r="AV46" s="706">
        <f>IF(HLOOKUP($AL46&amp;"aa",[11]Feuil1!$A$27:$EP$48,7,FALSE)=FALSE,0,HLOOKUP($AL46&amp;"aa",[11]Feuil1!$A$27:$EP$48,7,FALSE))</f>
        <v>1</v>
      </c>
      <c r="AW46" s="706">
        <f>IF(OR(HLOOKUP($AL46&amp;"a",[11]Feuil1!$A$27:$EP$48,8,FALSE)=FALSE,HLOOKUP($AL46&amp;"a",[11]Feuil1!$A$27:$EP$48,8,FALSE)=""),0,HLOOKUP($AL46&amp;"a",[11]Feuil1!$A$27:$EP$48,8,FALSE))</f>
        <v>1</v>
      </c>
      <c r="AX46" s="706">
        <f>IF(HLOOKUP($AL46&amp;"aa",[11]Feuil1!$A$27:$EP$48,8,FALSE)=FALSE,0,HLOOKUP($AL46&amp;"aa",[11]Feuil1!$A$27:$EP$48,8,FALSE))</f>
        <v>1</v>
      </c>
      <c r="AY46" s="706">
        <f>IF(OR(HLOOKUP($AL46&amp;"a",[11]Feuil1!$A$27:$EP$48,9,FALSE)=FALSE,HLOOKUP($AL46&amp;"a",[11]Feuil1!$A$27:$EP$48,9,FALSE)=""),0,HLOOKUP($AL46&amp;"a",[11]Feuil1!$A$27:$EP$48,9,FALSE))</f>
        <v>0</v>
      </c>
      <c r="AZ46" s="706">
        <f>IF(HLOOKUP($AL46&amp;"aa",[11]Feuil1!$A$27:$EP$48,9,FALSE)=FALSE,0,HLOOKUP($AL46&amp;"aa",[11]Feuil1!$A$27:$EP$48,9,FALSE))</f>
        <v>0</v>
      </c>
      <c r="BA46" s="706">
        <f>IF(OR(HLOOKUP($AL46&amp;"a",[11]Feuil1!$A$27:$EP$48,10,FALSE)=FALSE,HLOOKUP($AL46&amp;"a",[11]Feuil1!$A$27:$EP$48,10,FALSE)=""),0,HLOOKUP($AL46&amp;"a",[11]Feuil1!$A$27:$EP$48,10,FALSE))</f>
        <v>0</v>
      </c>
      <c r="BB46" s="706">
        <f>IF(HLOOKUP($AL46&amp;"aa",[11]Feuil1!$A$27:$EP$48,10,FALSE)=FALSE,0,HLOOKUP($AL46&amp;"aa",[11]Feuil1!$A$27:$EP$48,10,FALSE))</f>
        <v>0</v>
      </c>
      <c r="BC46" s="706">
        <f>IF(OR(HLOOKUP($AL46&amp;"a",[11]Feuil1!$A$27:$EP$48,11,FALSE)=FALSE,HLOOKUP($AL46&amp;"a",[11]Feuil1!$A$27:$EP$48,11,FALSE)=""),0,HLOOKUP($AL46&amp;"a",[11]Feuil1!$A$27:$EP$48,11,FALSE))</f>
        <v>0</v>
      </c>
      <c r="BD46" s="706">
        <f>IF(HLOOKUP($AL46&amp;"aa",[11]Feuil1!$A$27:$EP$48,11,FALSE)=FALSE,0,HLOOKUP($AL46&amp;"aa",[11]Feuil1!$A$27:$EP$48,11,FALSE))</f>
        <v>0</v>
      </c>
      <c r="BE46" s="706">
        <f>IF(OR(HLOOKUP($AL46&amp;"a",[11]Feuil1!$A$27:$EP$48,12,FALSE)=FALSE,HLOOKUP($AL46&amp;"a",[11]Feuil1!$A$27:$EP$48,12,FALSE)=""),0,HLOOKUP($AL46&amp;"a",[11]Feuil1!$A$27:$EP$48,12,FALSE))</f>
        <v>0</v>
      </c>
      <c r="BF46" s="706">
        <f>IF(HLOOKUP($AL46&amp;"aa",[11]Feuil1!$A$27:$EP$48,12,FALSE)=FALSE,0,HLOOKUP($AL46&amp;"aa",[11]Feuil1!$A$27:$EP$48,12,FALSE))</f>
        <v>0</v>
      </c>
      <c r="BG46" s="706">
        <f>IF(OR(HLOOKUP($AL46&amp;"a",[11]Feuil1!$A$27:$EP$48,13,FALSE)=FALSE,HLOOKUP($AL46&amp;"a",[11]Feuil1!$A$27:$EP$48,13,FALSE)=""),0,HLOOKUP($AL46&amp;"a",[11]Feuil1!$A$27:$EP$48,13,FALSE))</f>
        <v>0</v>
      </c>
      <c r="BH46" s="706">
        <f>IF(HLOOKUP($AL46&amp;"aa",[11]Feuil1!$A$27:$EP$48,13,FALSE)=FALSE,0,HLOOKUP($AL46&amp;"aa",[11]Feuil1!$A$27:$EP$48,13,FALSE))</f>
        <v>0</v>
      </c>
      <c r="BI46" s="706">
        <f>IF(OR(HLOOKUP($AL46&amp;"a",[11]Feuil1!$A$27:$EP$48,14,FALSE)=FALSE,HLOOKUP($AL46&amp;"a",[11]Feuil1!$A$27:$EP$48,14,FALSE)=""),0,HLOOKUP($AL46&amp;"a",[11]Feuil1!$A$27:$EP$48,14,FALSE))</f>
        <v>0</v>
      </c>
      <c r="BJ46" s="706">
        <f>IF(HLOOKUP($AL46&amp;"aa",[11]Feuil1!$A$27:$EP$48,14,FALSE)=FALSE,0,HLOOKUP($AL46&amp;"aa",[11]Feuil1!$A$27:$EP$48,14,FALSE))</f>
        <v>0</v>
      </c>
      <c r="BK46" s="706">
        <f>IF(OR(HLOOKUP($AL46&amp;"a",[11]Feuil1!$A$27:$EP$48,15,FALSE)=FALSE,HLOOKUP($AL46&amp;"a",[11]Feuil1!$A$27:$EP$48,15,FALSE)=""),0,HLOOKUP($AL46&amp;"a",[11]Feuil1!$A$27:$EP$48,15,FALSE))</f>
        <v>0</v>
      </c>
      <c r="BL46" s="706">
        <f>IF(HLOOKUP($AL46&amp;"aa",[11]Feuil1!$A$27:$EP$48,15,FALSE)=FALSE,0,HLOOKUP($AL46&amp;"aa",[11]Feuil1!$A$27:$EP$48,15,FALSE))</f>
        <v>0</v>
      </c>
      <c r="BM46" s="706">
        <f>IF(OR(HLOOKUP($AL46&amp;"a",[11]Feuil1!$A$27:$EP$48,16,FALSE)=FALSE,HLOOKUP($AL46&amp;"a",[11]Feuil1!$A$27:$EP$48,16,FALSE)=""),0,HLOOKUP($AL46&amp;"a",[11]Feuil1!$A$27:$EP$48,16,FALSE))</f>
        <v>0</v>
      </c>
      <c r="BN46" s="706">
        <f>IF(HLOOKUP($AL46&amp;"aa",[11]Feuil1!$A$27:$EP$48,16,FALSE)=FALSE,0,HLOOKUP($AL46&amp;"aa",[11]Feuil1!$A$27:$EP$48,16,FALSE))</f>
        <v>0</v>
      </c>
      <c r="BO46" s="706">
        <f>IF(OR(HLOOKUP($AL46&amp;"a",[11]Feuil1!$A$27:$EP$48,17,FALSE)=FALSE,HLOOKUP($AL46&amp;"a",[11]Feuil1!$A$27:$EP$48,17,FALSE)=""),0,HLOOKUP($AL46&amp;"a",[11]Feuil1!$A$27:$EP$48,17,FALSE))</f>
        <v>0</v>
      </c>
      <c r="BP46" s="706">
        <f>IF(HLOOKUP($AL46&amp;"aa",[11]Feuil1!$A$27:$EP$48,17,FALSE)=FALSE,0,HLOOKUP($AL46&amp;"aa",[11]Feuil1!$A$27:$EP$48,17,FALSE))</f>
        <v>0</v>
      </c>
      <c r="BQ46" s="706">
        <f>IF(OR(HLOOKUP($AL46&amp;"a",[11]Feuil1!$A$27:$EP$48,18,FALSE)=FALSE,HLOOKUP($AL46&amp;"a",[11]Feuil1!$A$27:$EP$48,18,FALSE)=""),0,HLOOKUP($AL46&amp;"a",[11]Feuil1!$A$27:$EP$48,18,FALSE))</f>
        <v>0</v>
      </c>
      <c r="BR46" s="706">
        <f>IF(HLOOKUP($AL46&amp;"aa",[11]Feuil1!$A$27:$EP$48,18,FALSE)=FALSE,0,HLOOKUP($AL46&amp;"aa",[11]Feuil1!$A$27:$EP$48,18,FALSE))</f>
        <v>0</v>
      </c>
      <c r="BS46" s="707">
        <f t="shared" si="29"/>
        <v>6.125</v>
      </c>
      <c r="BT46" s="707">
        <f t="shared" si="30"/>
        <v>7.0625</v>
      </c>
      <c r="BU46" s="707">
        <f t="shared" si="31"/>
        <v>6.75</v>
      </c>
      <c r="BV46" s="708">
        <f t="shared" ca="1" si="32"/>
        <v>7</v>
      </c>
      <c r="BW46" s="708">
        <f t="shared" ca="1" si="33"/>
        <v>20</v>
      </c>
      <c r="BX46" t="str">
        <f t="shared" si="34"/>
        <v>GUILLOTIN Marie-paule</v>
      </c>
      <c r="BY46" s="709">
        <v>1</v>
      </c>
      <c r="BZ46" s="710" t="s">
        <v>609</v>
      </c>
      <c r="CA46" s="711" t="s">
        <v>610</v>
      </c>
      <c r="CB46" s="709">
        <v>6</v>
      </c>
      <c r="CC46" s="712" t="s">
        <v>611</v>
      </c>
      <c r="CD46" s="709" t="s">
        <v>521</v>
      </c>
      <c r="CE46" s="591" t="str">
        <f t="shared" si="35"/>
        <v>556.00</v>
      </c>
      <c r="CF46" s="561"/>
      <c r="CG46" s="561"/>
      <c r="CH46" s="561"/>
      <c r="CI46" s="714"/>
      <c r="CK46" s="715">
        <f t="shared" si="36"/>
        <v>16</v>
      </c>
      <c r="CL46" s="591">
        <f t="shared" si="17"/>
        <v>0</v>
      </c>
      <c r="CM46" s="716">
        <f t="shared" si="45"/>
        <v>-4.0839999999999463</v>
      </c>
      <c r="CN46" s="716">
        <f t="shared" si="45"/>
        <v>5</v>
      </c>
      <c r="CO46" s="716">
        <f t="shared" si="45"/>
        <v>16</v>
      </c>
      <c r="CP46" s="716">
        <f t="shared" si="45"/>
        <v>-20</v>
      </c>
      <c r="CQ46" s="716">
        <f t="shared" si="45"/>
        <v>1</v>
      </c>
      <c r="CR46" s="716">
        <f t="shared" si="45"/>
        <v>-1</v>
      </c>
      <c r="CS46" s="716">
        <f t="shared" si="45"/>
        <v>1</v>
      </c>
      <c r="CT46" s="716">
        <f t="shared" si="45"/>
        <v>-12</v>
      </c>
      <c r="CU46" s="716">
        <f t="shared" si="45"/>
        <v>0</v>
      </c>
      <c r="CV46" s="717" t="str">
        <f t="shared" si="37"/>
        <v>faux</v>
      </c>
      <c r="CW46" s="718">
        <f>IF(E46=0,"",VLOOKUP(B46,[10]liste!AU:BD,10,FALSE))</f>
        <v>2</v>
      </c>
      <c r="CX46" s="719">
        <f t="shared" si="19"/>
        <v>635</v>
      </c>
      <c r="CY46" s="720">
        <f t="shared" si="38"/>
        <v>6</v>
      </c>
      <c r="CZ46" s="719"/>
      <c r="DA46" s="719"/>
      <c r="DB46" s="719"/>
      <c r="DC46" s="722" t="str">
        <f t="shared" ca="1" si="20"/>
        <v/>
      </c>
      <c r="DE46" s="723">
        <f t="shared" si="21"/>
        <v>649.08399999999995</v>
      </c>
      <c r="DF46" s="723">
        <f t="shared" si="22"/>
        <v>635</v>
      </c>
      <c r="DG46" s="697" t="str">
        <f t="shared" si="23"/>
        <v>Le Cam Corentin</v>
      </c>
      <c r="DH46" s="724">
        <f t="shared" si="24"/>
        <v>-2</v>
      </c>
      <c r="DI46" s="724">
        <f t="shared" si="39"/>
        <v>2</v>
      </c>
      <c r="DJ46" s="719">
        <f t="shared" si="25"/>
        <v>646</v>
      </c>
      <c r="DK46" s="719" t="str">
        <f t="shared" si="26"/>
        <v/>
      </c>
      <c r="DL46" s="719" t="str">
        <f t="shared" si="40"/>
        <v/>
      </c>
      <c r="DM46" s="719"/>
      <c r="DN46" s="719"/>
      <c r="DO46" s="719"/>
      <c r="DP46" s="720">
        <f t="shared" si="41"/>
        <v>6</v>
      </c>
      <c r="DQ46" s="591">
        <f ca="1">VLOOKUP(DG46,[10]résultats!$A$2:$DE$70,109,FALSE)</f>
        <v>7</v>
      </c>
      <c r="DR46" s="591">
        <f ca="1">VLOOKUP(DG46,[10]résultats!$A$2:$DG$70,111,FALSE)</f>
        <v>27</v>
      </c>
      <c r="DT46" s="591">
        <f t="shared" si="42"/>
        <v>32</v>
      </c>
      <c r="DU46" s="591">
        <f t="shared" si="43"/>
        <v>35</v>
      </c>
    </row>
    <row r="47" spans="1:125" s="554" customFormat="1" ht="23.1" customHeight="1">
      <c r="A47" s="308">
        <f t="shared" si="9"/>
        <v>36</v>
      </c>
      <c r="B47" s="297" t="str">
        <f>IF(E47=0,"",VLOOKUP(E47,[10]liste!AM:AN,2,FALSE))</f>
        <v>Guillotin Marie-Paule</v>
      </c>
      <c r="C47" s="762">
        <f>IF(E47=0,"",VLOOKUP(B47,[10]liste!AN:AP,3,FALSE))</f>
        <v>6</v>
      </c>
      <c r="D47" s="691">
        <f t="shared" si="10"/>
        <v>5</v>
      </c>
      <c r="E47" s="692">
        <f>LARGE([10]liste!AM:AM,32)</f>
        <v>633.029</v>
      </c>
      <c r="F47" s="693">
        <v>625</v>
      </c>
      <c r="G47" s="693">
        <v>607</v>
      </c>
      <c r="H47" s="693">
        <v>612</v>
      </c>
      <c r="I47" s="692">
        <v>606</v>
      </c>
      <c r="J47" s="693">
        <v>603</v>
      </c>
      <c r="K47" s="693">
        <v>599</v>
      </c>
      <c r="L47" s="693">
        <v>590</v>
      </c>
      <c r="M47" s="692">
        <v>573</v>
      </c>
      <c r="N47" s="692">
        <v>573</v>
      </c>
      <c r="O47" s="694"/>
      <c r="P47" s="695">
        <f t="shared" ca="1" si="11"/>
        <v>0</v>
      </c>
      <c r="Q47" s="170">
        <f t="shared" si="12"/>
        <v>-60.028999999999996</v>
      </c>
      <c r="R47" s="696">
        <f ca="1">IF(U47&lt;MAX(U$16:U$81)/6.2,"NS",IF(B47="",0,VLOOKUP(B47,[10]résultats!AX:DH,63,FALSE)))</f>
        <v>0.32267320993595672</v>
      </c>
      <c r="S47" s="763" t="str">
        <f t="shared" si="13"/>
        <v>Guillotin Marie-Paule</v>
      </c>
      <c r="T47" s="171">
        <f t="shared" ca="1" si="14"/>
        <v>10</v>
      </c>
      <c r="U47" s="172">
        <f t="shared" ca="1" si="14"/>
        <v>31</v>
      </c>
      <c r="V47" s="292">
        <f ca="1">IF(B47="",0,HLOOKUP(B47&amp;"a",[11]Feuil1!$A$27:$FX$48,20,FALSE)+RAND()*0.0001)</f>
        <v>1.0000224094369448</v>
      </c>
      <c r="W47" s="293">
        <f ca="1">IF(B47="",0,HLOOKUP(B47&amp;"a",[11]Feuil1!$A$27:$FX$48,21,FALSE))+RAND()*0.0001</f>
        <v>9.0000252509205989</v>
      </c>
      <c r="X47" s="725">
        <f t="shared" si="27"/>
        <v>646</v>
      </c>
      <c r="Y47" s="701">
        <f t="shared" si="15"/>
        <v>633.029</v>
      </c>
      <c r="Z47" s="1171"/>
      <c r="AA47" s="1175"/>
      <c r="AB47" s="1176"/>
      <c r="AC47" s="581"/>
      <c r="AD47" s="752" t="str">
        <f>IF(COUNTIF('points et TOP'!CL15:CL83,2)&gt;1,COUNTIF('points et TOP'!CL15:CL83,2)&amp;" joueurs ont gagné au moins un classement soit "&amp;ROUND(COUNTIF('points et TOP'!CL15:CL83,2)/(C22+D22),2)*100&amp;" %",IF(COUNTIF('points et TOP'!CL15:CL83,2)=1,COUNTIF('points et TOP'!CL15:CL83,2)&amp;" joueur a gagné au moins un classement.",""))</f>
        <v>11 joueurs ont gagné au moins un classement soit 39 %</v>
      </c>
      <c r="AE47" s="753"/>
      <c r="AF47" s="764"/>
      <c r="AG47" s="755"/>
      <c r="AH47" s="755"/>
      <c r="AI47" s="756"/>
      <c r="AJ47" s="677"/>
      <c r="AK47" s="677">
        <f t="shared" si="28"/>
        <v>28</v>
      </c>
      <c r="AL47" s="705" t="str">
        <f t="shared" si="16"/>
        <v>Guillotin Marie-Paule</v>
      </c>
      <c r="AM47" s="706">
        <f>IF(OR(HLOOKUP($AL47&amp;"a",[11]Feuil1!$A$27:$EP$48,3,FALSE)=FALSE,HLOOKUP($AL47&amp;"a",[11]Feuil1!$A$27:$EP$48,3,FALSE)=""),0,HLOOKUP($AL47&amp;"a",[11]Feuil1!$A$27:$EP$48,3,FALSE))</f>
        <v>9</v>
      </c>
      <c r="AN47" s="706">
        <f>IF(HLOOKUP($AL47&amp;"aa",[11]Feuil1!$A$27:$EP$48,3,FALSE)=FALSE,0,HLOOKUP($AL47&amp;"aa",[11]Feuil1!$A$27:$EP$48,3,FALSE))</f>
        <v>9</v>
      </c>
      <c r="AO47" s="706">
        <f>IF(OR(HLOOKUP($AL47&amp;"a",[11]Feuil1!$A$27:$EP$48,4,FALSE)=FALSE,HLOOKUP($AL47&amp;"a",[11]Feuil1!$A$27:$EP$48,4,FALSE)=""),0,HLOOKUP($AL47&amp;"a",[11]Feuil1!$A$27:$EP$48,4,FALSE))</f>
        <v>1</v>
      </c>
      <c r="AP47" s="706">
        <f>IF(HLOOKUP($AL47&amp;"aa",[11]Feuil1!$A$27:$EP$48,4,FALSE)=FALSE,0,HLOOKUP($AL47&amp;"aa",[11]Feuil1!$A$27:$EP$48,4,FALSE))</f>
        <v>3</v>
      </c>
      <c r="AQ47" s="706">
        <f>IF(OR(HLOOKUP($AL47&amp;"a",[11]Feuil1!$A$27:$EP$48,5,FALSE)=FALSE,HLOOKUP($AL47&amp;"a",[11]Feuil1!$A$27:$EP$48,5,FALSE)=""),0,HLOOKUP($AL47&amp;"a",[11]Feuil1!$A$27:$EP$48,5,FALSE))</f>
        <v>0</v>
      </c>
      <c r="AR47" s="706">
        <f>IF(HLOOKUP($AL47&amp;"aa",[11]Feuil1!$A$27:$EP$48,5,FALSE)=FALSE,0,HLOOKUP($AL47&amp;"aa",[11]Feuil1!$A$27:$EP$48,5,FALSE))</f>
        <v>3</v>
      </c>
      <c r="AS47" s="706">
        <f>IF(OR(HLOOKUP($AL47&amp;"a",[11]Feuil1!$A$27:$EP$48,6,FALSE)=FALSE,HLOOKUP($AL47&amp;"a",[11]Feuil1!$A$27:$EP$48,6,FALSE)=""),0,HLOOKUP($AL47&amp;"a",[11]Feuil1!$A$27:$EP$48,6,FALSE))</f>
        <v>0</v>
      </c>
      <c r="AT47" s="706">
        <f>IF(HLOOKUP($AL47&amp;"aa",[11]Feuil1!$A$27:$EP$48,6,FALSE)=FALSE,0,HLOOKUP($AL47&amp;"aa",[11]Feuil1!$A$27:$EP$48,6,FALSE))</f>
        <v>0</v>
      </c>
      <c r="AU47" s="706">
        <f>IF(OR(HLOOKUP($AL47&amp;"a",[11]Feuil1!$A$27:$EP$48,7,FALSE)=FALSE,HLOOKUP($AL47&amp;"a",[11]Feuil1!$A$27:$EP$48,7,FALSE)=""),0,HLOOKUP($AL47&amp;"a",[11]Feuil1!$A$27:$EP$48,7,FALSE))</f>
        <v>0</v>
      </c>
      <c r="AV47" s="706">
        <f>IF(HLOOKUP($AL47&amp;"aa",[11]Feuil1!$A$27:$EP$48,7,FALSE)=FALSE,0,HLOOKUP($AL47&amp;"aa",[11]Feuil1!$A$27:$EP$48,7,FALSE))</f>
        <v>0</v>
      </c>
      <c r="AW47" s="706">
        <f>IF(OR(HLOOKUP($AL47&amp;"a",[11]Feuil1!$A$27:$EP$48,8,FALSE)=FALSE,HLOOKUP($AL47&amp;"a",[11]Feuil1!$A$27:$EP$48,8,FALSE)=""),0,HLOOKUP($AL47&amp;"a",[11]Feuil1!$A$27:$EP$48,8,FALSE))</f>
        <v>0</v>
      </c>
      <c r="AX47" s="706">
        <f>IF(HLOOKUP($AL47&amp;"aa",[11]Feuil1!$A$27:$EP$48,8,FALSE)=FALSE,0,HLOOKUP($AL47&amp;"aa",[11]Feuil1!$A$27:$EP$48,8,FALSE))</f>
        <v>2</v>
      </c>
      <c r="AY47" s="706">
        <f>IF(OR(HLOOKUP($AL47&amp;"a",[11]Feuil1!$A$27:$EP$48,9,FALSE)=FALSE,HLOOKUP($AL47&amp;"a",[11]Feuil1!$A$27:$EP$48,9,FALSE)=""),0,HLOOKUP($AL47&amp;"a",[11]Feuil1!$A$27:$EP$48,9,FALSE))</f>
        <v>0</v>
      </c>
      <c r="AZ47" s="706">
        <f>IF(HLOOKUP($AL47&amp;"aa",[11]Feuil1!$A$27:$EP$48,9,FALSE)=FALSE,0,HLOOKUP($AL47&amp;"aa",[11]Feuil1!$A$27:$EP$48,9,FALSE))</f>
        <v>0</v>
      </c>
      <c r="BA47" s="706">
        <f>IF(OR(HLOOKUP($AL47&amp;"a",[11]Feuil1!$A$27:$EP$48,10,FALSE)=FALSE,HLOOKUP($AL47&amp;"a",[11]Feuil1!$A$27:$EP$48,10,FALSE)=""),0,HLOOKUP($AL47&amp;"a",[11]Feuil1!$A$27:$EP$48,10,FALSE))</f>
        <v>0</v>
      </c>
      <c r="BB47" s="706">
        <f>IF(HLOOKUP($AL47&amp;"aa",[11]Feuil1!$A$27:$EP$48,10,FALSE)=FALSE,0,HLOOKUP($AL47&amp;"aa",[11]Feuil1!$A$27:$EP$48,10,FALSE))</f>
        <v>1</v>
      </c>
      <c r="BC47" s="706">
        <f>IF(OR(HLOOKUP($AL47&amp;"a",[11]Feuil1!$A$27:$EP$48,11,FALSE)=FALSE,HLOOKUP($AL47&amp;"a",[11]Feuil1!$A$27:$EP$48,11,FALSE)=""),0,HLOOKUP($AL47&amp;"a",[11]Feuil1!$A$27:$EP$48,11,FALSE))</f>
        <v>0</v>
      </c>
      <c r="BD47" s="706">
        <f>IF(HLOOKUP($AL47&amp;"aa",[11]Feuil1!$A$27:$EP$48,11,FALSE)=FALSE,0,HLOOKUP($AL47&amp;"aa",[11]Feuil1!$A$27:$EP$48,11,FALSE))</f>
        <v>0</v>
      </c>
      <c r="BE47" s="706">
        <f>IF(OR(HLOOKUP($AL47&amp;"a",[11]Feuil1!$A$27:$EP$48,12,FALSE)=FALSE,HLOOKUP($AL47&amp;"a",[11]Feuil1!$A$27:$EP$48,12,FALSE)=""),0,HLOOKUP($AL47&amp;"a",[11]Feuil1!$A$27:$EP$48,12,FALSE))</f>
        <v>0</v>
      </c>
      <c r="BF47" s="706">
        <f>IF(HLOOKUP($AL47&amp;"aa",[11]Feuil1!$A$27:$EP$48,12,FALSE)=FALSE,0,HLOOKUP($AL47&amp;"aa",[11]Feuil1!$A$27:$EP$48,12,FALSE))</f>
        <v>0</v>
      </c>
      <c r="BG47" s="706">
        <f>IF(OR(HLOOKUP($AL47&amp;"a",[11]Feuil1!$A$27:$EP$48,13,FALSE)=FALSE,HLOOKUP($AL47&amp;"a",[11]Feuil1!$A$27:$EP$48,13,FALSE)=""),0,HLOOKUP($AL47&amp;"a",[11]Feuil1!$A$27:$EP$48,13,FALSE))</f>
        <v>0</v>
      </c>
      <c r="BH47" s="706">
        <f>IF(HLOOKUP($AL47&amp;"aa",[11]Feuil1!$A$27:$EP$48,13,FALSE)=FALSE,0,HLOOKUP($AL47&amp;"aa",[11]Feuil1!$A$27:$EP$48,13,FALSE))</f>
        <v>0</v>
      </c>
      <c r="BI47" s="706">
        <f>IF(OR(HLOOKUP($AL47&amp;"a",[11]Feuil1!$A$27:$EP$48,14,FALSE)=FALSE,HLOOKUP($AL47&amp;"a",[11]Feuil1!$A$27:$EP$48,14,FALSE)=""),0,HLOOKUP($AL47&amp;"a",[11]Feuil1!$A$27:$EP$48,14,FALSE))</f>
        <v>0</v>
      </c>
      <c r="BJ47" s="706">
        <f>IF(HLOOKUP($AL47&amp;"aa",[11]Feuil1!$A$27:$EP$48,14,FALSE)=FALSE,0,HLOOKUP($AL47&amp;"aa",[11]Feuil1!$A$27:$EP$48,14,FALSE))</f>
        <v>0</v>
      </c>
      <c r="BK47" s="706">
        <f>IF(OR(HLOOKUP($AL47&amp;"a",[11]Feuil1!$A$27:$EP$48,15,FALSE)=FALSE,HLOOKUP($AL47&amp;"a",[11]Feuil1!$A$27:$EP$48,15,FALSE)=""),0,HLOOKUP($AL47&amp;"a",[11]Feuil1!$A$27:$EP$48,15,FALSE))</f>
        <v>0</v>
      </c>
      <c r="BL47" s="706">
        <f>IF(HLOOKUP($AL47&amp;"aa",[11]Feuil1!$A$27:$EP$48,15,FALSE)=FALSE,0,HLOOKUP($AL47&amp;"aa",[11]Feuil1!$A$27:$EP$48,15,FALSE))</f>
        <v>0</v>
      </c>
      <c r="BM47" s="706">
        <f>IF(OR(HLOOKUP($AL47&amp;"a",[11]Feuil1!$A$27:$EP$48,16,FALSE)=FALSE,HLOOKUP($AL47&amp;"a",[11]Feuil1!$A$27:$EP$48,16,FALSE)=""),0,HLOOKUP($AL47&amp;"a",[11]Feuil1!$A$27:$EP$48,16,FALSE))</f>
        <v>0</v>
      </c>
      <c r="BN47" s="706">
        <f>IF(HLOOKUP($AL47&amp;"aa",[11]Feuil1!$A$27:$EP$48,16,FALSE)=FALSE,0,HLOOKUP($AL47&amp;"aa",[11]Feuil1!$A$27:$EP$48,16,FALSE))</f>
        <v>0</v>
      </c>
      <c r="BO47" s="706">
        <f>IF(OR(HLOOKUP($AL47&amp;"a",[11]Feuil1!$A$27:$EP$48,17,FALSE)=FALSE,HLOOKUP($AL47&amp;"a",[11]Feuil1!$A$27:$EP$48,17,FALSE)=""),0,HLOOKUP($AL47&amp;"a",[11]Feuil1!$A$27:$EP$48,17,FALSE))</f>
        <v>0</v>
      </c>
      <c r="BP47" s="706">
        <f>IF(HLOOKUP($AL47&amp;"aa",[11]Feuil1!$A$27:$EP$48,17,FALSE)=FALSE,0,HLOOKUP($AL47&amp;"aa",[11]Feuil1!$A$27:$EP$48,17,FALSE))</f>
        <v>0</v>
      </c>
      <c r="BQ47" s="706">
        <f>IF(OR(HLOOKUP($AL47&amp;"a",[11]Feuil1!$A$27:$EP$48,18,FALSE)=FALSE,HLOOKUP($AL47&amp;"a",[11]Feuil1!$A$27:$EP$48,18,FALSE)=""),0,HLOOKUP($AL47&amp;"a",[11]Feuil1!$A$27:$EP$48,18,FALSE))</f>
        <v>0</v>
      </c>
      <c r="BR47" s="706">
        <f>IF(HLOOKUP($AL47&amp;"aa",[11]Feuil1!$A$27:$EP$48,18,FALSE)=FALSE,0,HLOOKUP($AL47&amp;"aa",[11]Feuil1!$A$27:$EP$48,18,FALSE))</f>
        <v>0</v>
      </c>
      <c r="BS47" s="707">
        <f t="shared" si="29"/>
        <v>5.0999999999999996</v>
      </c>
      <c r="BT47" s="707">
        <f t="shared" si="30"/>
        <v>6.4444444444444446</v>
      </c>
      <c r="BU47" s="707">
        <f t="shared" si="31"/>
        <v>5.9642857142857144</v>
      </c>
      <c r="BV47" s="708">
        <f t="shared" ca="1" si="32"/>
        <v>10</v>
      </c>
      <c r="BW47" s="708">
        <f t="shared" ca="1" si="33"/>
        <v>21</v>
      </c>
      <c r="BX47" t="str">
        <f t="shared" si="34"/>
        <v>MORIN Léa</v>
      </c>
      <c r="BY47" s="726">
        <v>2</v>
      </c>
      <c r="BZ47" s="727" t="s">
        <v>573</v>
      </c>
      <c r="CA47" s="728" t="s">
        <v>612</v>
      </c>
      <c r="CB47" s="726">
        <v>5</v>
      </c>
      <c r="CC47" s="729" t="s">
        <v>613</v>
      </c>
      <c r="CD47" s="726" t="s">
        <v>513</v>
      </c>
      <c r="CE47" s="591" t="str">
        <f t="shared" si="35"/>
        <v>652.00</v>
      </c>
      <c r="CF47" s="561"/>
      <c r="CG47" s="561"/>
      <c r="CH47" s="561"/>
      <c r="CI47" s="714"/>
      <c r="CK47" s="715">
        <f t="shared" si="36"/>
        <v>5</v>
      </c>
      <c r="CL47" s="591">
        <f t="shared" si="17"/>
        <v>1</v>
      </c>
      <c r="CM47" s="716">
        <f t="shared" si="45"/>
        <v>-8.0289999999999964</v>
      </c>
      <c r="CN47" s="716">
        <f t="shared" si="45"/>
        <v>-18</v>
      </c>
      <c r="CO47" s="716">
        <f t="shared" si="45"/>
        <v>5</v>
      </c>
      <c r="CP47" s="716">
        <f t="shared" si="45"/>
        <v>-6</v>
      </c>
      <c r="CQ47" s="716">
        <f t="shared" si="45"/>
        <v>-3</v>
      </c>
      <c r="CR47" s="716">
        <f t="shared" si="45"/>
        <v>-4</v>
      </c>
      <c r="CS47" s="716">
        <f t="shared" si="45"/>
        <v>-9</v>
      </c>
      <c r="CT47" s="716">
        <f t="shared" si="45"/>
        <v>-17</v>
      </c>
      <c r="CU47" s="716">
        <f t="shared" si="45"/>
        <v>0</v>
      </c>
      <c r="CV47" s="717" t="str">
        <f t="shared" si="37"/>
        <v>faux</v>
      </c>
      <c r="CW47" s="718">
        <f>IF(E47=0,"",VLOOKUP(B47,[10]liste!AU:BD,10,FALSE))</f>
        <v>1</v>
      </c>
      <c r="CX47" s="719">
        <f t="shared" si="19"/>
        <v>573</v>
      </c>
      <c r="CY47" s="720">
        <f t="shared" si="38"/>
        <v>5</v>
      </c>
      <c r="CZ47" s="719"/>
      <c r="DA47" s="719"/>
      <c r="DB47" s="719"/>
      <c r="DC47" s="722" t="str">
        <f t="shared" ca="1" si="20"/>
        <v/>
      </c>
      <c r="DE47" s="723" t="str">
        <f t="shared" si="21"/>
        <v/>
      </c>
      <c r="DF47" s="723" t="str">
        <f t="shared" si="22"/>
        <v/>
      </c>
      <c r="DG47" s="697" t="str">
        <f t="shared" si="23"/>
        <v>Guillotin Marie-Paule</v>
      </c>
      <c r="DH47" s="724">
        <f t="shared" si="24"/>
        <v>-2</v>
      </c>
      <c r="DI47" s="724">
        <f t="shared" si="39"/>
        <v>1</v>
      </c>
      <c r="DJ47" s="719">
        <f t="shared" si="25"/>
        <v>606</v>
      </c>
      <c r="DK47" s="719">
        <f t="shared" si="26"/>
        <v>633.029</v>
      </c>
      <c r="DL47" s="719">
        <f t="shared" si="40"/>
        <v>573</v>
      </c>
      <c r="DM47" s="719"/>
      <c r="DN47" s="719"/>
      <c r="DO47" s="719"/>
      <c r="DP47" s="720">
        <f t="shared" si="41"/>
        <v>6</v>
      </c>
      <c r="DQ47" s="591">
        <f ca="1">VLOOKUP(DG47,[10]résultats!$A$2:$DE$70,109,FALSE)</f>
        <v>10</v>
      </c>
      <c r="DR47" s="591">
        <f ca="1">VLOOKUP(DG47,[10]résultats!$A$2:$DG$70,111,FALSE)</f>
        <v>31</v>
      </c>
      <c r="DT47" s="591">
        <f t="shared" si="42"/>
        <v>35</v>
      </c>
      <c r="DU47" s="591">
        <f t="shared" si="43"/>
        <v>36</v>
      </c>
    </row>
    <row r="48" spans="1:125" s="554" customFormat="1" ht="23.1" customHeight="1" thickBot="1">
      <c r="A48" s="308">
        <f t="shared" si="9"/>
        <v>29</v>
      </c>
      <c r="B48" s="297" t="str">
        <f>IF(E48=0,"",VLOOKUP(E48,[10]liste!AM:AN,2,FALSE))</f>
        <v>Lorho Mathieu</v>
      </c>
      <c r="C48" s="762">
        <f>IF(E48=0,"",VLOOKUP(B48,[10]liste!AN:AP,3,FALSE))</f>
        <v>6</v>
      </c>
      <c r="D48" s="691">
        <f t="shared" si="10"/>
        <v>6</v>
      </c>
      <c r="E48" s="692">
        <f>LARGE([10]liste!AM:AM,33)</f>
        <v>630.05499999999995</v>
      </c>
      <c r="F48" s="693">
        <v>630</v>
      </c>
      <c r="G48" s="693">
        <v>635</v>
      </c>
      <c r="H48" s="693">
        <v>659</v>
      </c>
      <c r="I48" s="692">
        <v>651</v>
      </c>
      <c r="J48" s="693">
        <v>657</v>
      </c>
      <c r="K48" s="693">
        <v>657</v>
      </c>
      <c r="L48" s="693">
        <v>702</v>
      </c>
      <c r="M48" s="692">
        <v>696</v>
      </c>
      <c r="N48" s="692">
        <v>696.03</v>
      </c>
      <c r="O48" s="694"/>
      <c r="P48" s="695">
        <f t="shared" ca="1" si="11"/>
        <v>2.9999999999972715E-2</v>
      </c>
      <c r="Q48" s="170">
        <f t="shared" si="12"/>
        <v>65.975000000000023</v>
      </c>
      <c r="R48" s="696">
        <f ca="1">IF(U48&lt;MAX(U$16:U$81)/6.2,"NS",IF(B48="",0,VLOOKUP(B48,[10]résultats!AX:DH,63,FALSE)))</f>
        <v>0.47065558204763164</v>
      </c>
      <c r="S48" s="763" t="str">
        <f t="shared" si="13"/>
        <v>Lorho Mathieu</v>
      </c>
      <c r="T48" s="171">
        <f t="shared" ca="1" si="14"/>
        <v>24</v>
      </c>
      <c r="U48" s="172">
        <f t="shared" ca="1" si="14"/>
        <v>51</v>
      </c>
      <c r="V48" s="292">
        <f ca="1">IF(B48="",0,HLOOKUP(B48&amp;"a",[11]Feuil1!$A$27:$FX$48,20,FALSE)+RAND()*0.0001)</f>
        <v>6.0000072429706748</v>
      </c>
      <c r="W48" s="293">
        <f ca="1">IF(B48="",0,HLOOKUP(B48&amp;"a",[11]Feuil1!$A$27:$FX$48,21,FALSE))+RAND()*0.0001</f>
        <v>3.000063354435325</v>
      </c>
      <c r="X48" s="725">
        <f t="shared" si="27"/>
        <v>799</v>
      </c>
      <c r="Y48" s="701">
        <f t="shared" si="15"/>
        <v>702</v>
      </c>
      <c r="Z48" s="1172"/>
      <c r="AA48" s="1177"/>
      <c r="AB48" s="1178"/>
      <c r="AC48" s="581"/>
      <c r="AD48" s="757" t="str">
        <f ca="1">"Il y a eu "&amp;ROUND(SUM(V16:V54),0)&amp; " PERFS soit  "&amp;ROUND(SUM(V16:V54)*100/SUM(U16:U54),1)&amp;" % et "&amp;ROUND(SUM(W16:W54),0)&amp;" CONTRES soit "&amp;ROUND(SUM(W16:W54)*100/SUM(U16:U54),1)&amp;" % "</f>
        <v xml:space="preserve">Il y a eu 182 PERFS soit  10,8 % et 166 CONTRES soit 9,8 % </v>
      </c>
      <c r="AE48" s="765"/>
      <c r="AF48" s="765"/>
      <c r="AG48" s="765"/>
      <c r="AH48" s="765"/>
      <c r="AI48" s="766"/>
      <c r="AJ48" s="677"/>
      <c r="AK48" s="677">
        <f t="shared" si="28"/>
        <v>49</v>
      </c>
      <c r="AL48" s="705" t="str">
        <f t="shared" si="16"/>
        <v>Lorho Mathieu</v>
      </c>
      <c r="AM48" s="706">
        <f>IF(OR(HLOOKUP($AL48&amp;"a",[11]Feuil1!$A$27:$EP$48,3,FALSE)=FALSE,HLOOKUP($AL48&amp;"a",[11]Feuil1!$A$27:$EP$48,3,FALSE)=""),0,HLOOKUP($AL48&amp;"a",[11]Feuil1!$A$27:$EP$48,3,FALSE))</f>
        <v>9</v>
      </c>
      <c r="AN48" s="706">
        <f>IF(HLOOKUP($AL48&amp;"aa",[11]Feuil1!$A$27:$EP$48,3,FALSE)=FALSE,0,HLOOKUP($AL48&amp;"aa",[11]Feuil1!$A$27:$EP$48,3,FALSE))</f>
        <v>1</v>
      </c>
      <c r="AO48" s="706">
        <f>IF(OR(HLOOKUP($AL48&amp;"a",[11]Feuil1!$A$27:$EP$48,4,FALSE)=FALSE,HLOOKUP($AL48&amp;"a",[11]Feuil1!$A$27:$EP$48,4,FALSE)=""),0,HLOOKUP($AL48&amp;"a",[11]Feuil1!$A$27:$EP$48,4,FALSE))</f>
        <v>7</v>
      </c>
      <c r="AP48" s="706">
        <f>IF(HLOOKUP($AL48&amp;"aa",[11]Feuil1!$A$27:$EP$48,4,FALSE)=FALSE,0,HLOOKUP($AL48&amp;"aa",[11]Feuil1!$A$27:$EP$48,4,FALSE))</f>
        <v>5</v>
      </c>
      <c r="AQ48" s="706">
        <f>IF(OR(HLOOKUP($AL48&amp;"a",[11]Feuil1!$A$27:$EP$48,5,FALSE)=FALSE,HLOOKUP($AL48&amp;"a",[11]Feuil1!$A$27:$EP$48,5,FALSE)=""),0,HLOOKUP($AL48&amp;"a",[11]Feuil1!$A$27:$EP$48,5,FALSE))</f>
        <v>5</v>
      </c>
      <c r="AR48" s="706">
        <f>IF(HLOOKUP($AL48&amp;"aa",[11]Feuil1!$A$27:$EP$48,5,FALSE)=FALSE,0,HLOOKUP($AL48&amp;"aa",[11]Feuil1!$A$27:$EP$48,5,FALSE))</f>
        <v>4</v>
      </c>
      <c r="AS48" s="706">
        <f>IF(OR(HLOOKUP($AL48&amp;"a",[11]Feuil1!$A$27:$EP$48,6,FALSE)=FALSE,HLOOKUP($AL48&amp;"a",[11]Feuil1!$A$27:$EP$48,6,FALSE)=""),0,HLOOKUP($AL48&amp;"a",[11]Feuil1!$A$27:$EP$48,6,FALSE))</f>
        <v>0</v>
      </c>
      <c r="AT48" s="706">
        <f>IF(HLOOKUP($AL48&amp;"aa",[11]Feuil1!$A$27:$EP$48,6,FALSE)=FALSE,0,HLOOKUP($AL48&amp;"aa",[11]Feuil1!$A$27:$EP$48,6,FALSE))</f>
        <v>2</v>
      </c>
      <c r="AU48" s="706">
        <f>IF(OR(HLOOKUP($AL48&amp;"a",[11]Feuil1!$A$27:$EP$48,7,FALSE)=FALSE,HLOOKUP($AL48&amp;"a",[11]Feuil1!$A$27:$EP$48,7,FALSE)=""),0,HLOOKUP($AL48&amp;"a",[11]Feuil1!$A$27:$EP$48,7,FALSE))</f>
        <v>0</v>
      </c>
      <c r="AV48" s="706">
        <f>IF(HLOOKUP($AL48&amp;"aa",[11]Feuil1!$A$27:$EP$48,7,FALSE)=FALSE,0,HLOOKUP($AL48&amp;"aa",[11]Feuil1!$A$27:$EP$48,7,FALSE))</f>
        <v>7</v>
      </c>
      <c r="AW48" s="706">
        <f>IF(OR(HLOOKUP($AL48&amp;"a",[11]Feuil1!$A$27:$EP$48,8,FALSE)=FALSE,HLOOKUP($AL48&amp;"a",[11]Feuil1!$A$27:$EP$48,8,FALSE)=""),0,HLOOKUP($AL48&amp;"a",[11]Feuil1!$A$27:$EP$48,8,FALSE))</f>
        <v>0</v>
      </c>
      <c r="AX48" s="706">
        <f>IF(HLOOKUP($AL48&amp;"aa",[11]Feuil1!$A$27:$EP$48,8,FALSE)=FALSE,0,HLOOKUP($AL48&amp;"aa",[11]Feuil1!$A$27:$EP$48,8,FALSE))</f>
        <v>4</v>
      </c>
      <c r="AY48" s="706">
        <f>IF(OR(HLOOKUP($AL48&amp;"a",[11]Feuil1!$A$27:$EP$48,9,FALSE)=FALSE,HLOOKUP($AL48&amp;"a",[11]Feuil1!$A$27:$EP$48,9,FALSE)=""),0,HLOOKUP($AL48&amp;"a",[11]Feuil1!$A$27:$EP$48,9,FALSE))</f>
        <v>0</v>
      </c>
      <c r="AZ48" s="706">
        <f>IF(HLOOKUP($AL48&amp;"aa",[11]Feuil1!$A$27:$EP$48,9,FALSE)=FALSE,0,HLOOKUP($AL48&amp;"aa",[11]Feuil1!$A$27:$EP$48,9,FALSE))</f>
        <v>1</v>
      </c>
      <c r="BA48" s="706">
        <f>IF(OR(HLOOKUP($AL48&amp;"a",[11]Feuil1!$A$27:$EP$48,10,FALSE)=FALSE,HLOOKUP($AL48&amp;"a",[11]Feuil1!$A$27:$EP$48,10,FALSE)=""),0,HLOOKUP($AL48&amp;"a",[11]Feuil1!$A$27:$EP$48,10,FALSE))</f>
        <v>0</v>
      </c>
      <c r="BB48" s="706">
        <f>IF(HLOOKUP($AL48&amp;"aa",[11]Feuil1!$A$27:$EP$48,10,FALSE)=FALSE,0,HLOOKUP($AL48&amp;"aa",[11]Feuil1!$A$27:$EP$48,10,FALSE))</f>
        <v>2</v>
      </c>
      <c r="BC48" s="706">
        <f>IF(OR(HLOOKUP($AL48&amp;"a",[11]Feuil1!$A$27:$EP$48,11,FALSE)=FALSE,HLOOKUP($AL48&amp;"a",[11]Feuil1!$A$27:$EP$48,11,FALSE)=""),0,HLOOKUP($AL48&amp;"a",[11]Feuil1!$A$27:$EP$48,11,FALSE))</f>
        <v>0</v>
      </c>
      <c r="BD48" s="706">
        <f>IF(HLOOKUP($AL48&amp;"aa",[11]Feuil1!$A$27:$EP$48,11,FALSE)=FALSE,0,HLOOKUP($AL48&amp;"aa",[11]Feuil1!$A$27:$EP$48,11,FALSE))</f>
        <v>0</v>
      </c>
      <c r="BE48" s="706">
        <f>IF(OR(HLOOKUP($AL48&amp;"a",[11]Feuil1!$A$27:$EP$48,12,FALSE)=FALSE,HLOOKUP($AL48&amp;"a",[11]Feuil1!$A$27:$EP$48,12,FALSE)=""),0,HLOOKUP($AL48&amp;"a",[11]Feuil1!$A$27:$EP$48,12,FALSE))</f>
        <v>0</v>
      </c>
      <c r="BF48" s="706">
        <f>IF(HLOOKUP($AL48&amp;"aa",[11]Feuil1!$A$27:$EP$48,12,FALSE)=FALSE,0,HLOOKUP($AL48&amp;"aa",[11]Feuil1!$A$27:$EP$48,12,FALSE))</f>
        <v>2</v>
      </c>
      <c r="BG48" s="706">
        <f>IF(OR(HLOOKUP($AL48&amp;"a",[11]Feuil1!$A$27:$EP$48,13,FALSE)=FALSE,HLOOKUP($AL48&amp;"a",[11]Feuil1!$A$27:$EP$48,13,FALSE)=""),0,HLOOKUP($AL48&amp;"a",[11]Feuil1!$A$27:$EP$48,13,FALSE))</f>
        <v>0</v>
      </c>
      <c r="BH48" s="706">
        <f>IF(HLOOKUP($AL48&amp;"aa",[11]Feuil1!$A$27:$EP$48,13,FALSE)=FALSE,0,HLOOKUP($AL48&amp;"aa",[11]Feuil1!$A$27:$EP$48,13,FALSE))</f>
        <v>0</v>
      </c>
      <c r="BI48" s="706">
        <f>IF(OR(HLOOKUP($AL48&amp;"a",[11]Feuil1!$A$27:$EP$48,14,FALSE)=FALSE,HLOOKUP($AL48&amp;"a",[11]Feuil1!$A$27:$EP$48,14,FALSE)=""),0,HLOOKUP($AL48&amp;"a",[11]Feuil1!$A$27:$EP$48,14,FALSE))</f>
        <v>0</v>
      </c>
      <c r="BJ48" s="706">
        <f>IF(HLOOKUP($AL48&amp;"aa",[11]Feuil1!$A$27:$EP$48,14,FALSE)=FALSE,0,HLOOKUP($AL48&amp;"aa",[11]Feuil1!$A$27:$EP$48,14,FALSE))</f>
        <v>0</v>
      </c>
      <c r="BK48" s="706">
        <f>IF(OR(HLOOKUP($AL48&amp;"a",[11]Feuil1!$A$27:$EP$48,15,FALSE)=FALSE,HLOOKUP($AL48&amp;"a",[11]Feuil1!$A$27:$EP$48,15,FALSE)=""),0,HLOOKUP($AL48&amp;"a",[11]Feuil1!$A$27:$EP$48,15,FALSE))</f>
        <v>0</v>
      </c>
      <c r="BL48" s="706">
        <f>IF(HLOOKUP($AL48&amp;"aa",[11]Feuil1!$A$27:$EP$48,15,FALSE)=FALSE,0,HLOOKUP($AL48&amp;"aa",[11]Feuil1!$A$27:$EP$48,15,FALSE))</f>
        <v>0</v>
      </c>
      <c r="BM48" s="706">
        <f>IF(OR(HLOOKUP($AL48&amp;"a",[11]Feuil1!$A$27:$EP$48,16,FALSE)=FALSE,HLOOKUP($AL48&amp;"a",[11]Feuil1!$A$27:$EP$48,16,FALSE)=""),0,HLOOKUP($AL48&amp;"a",[11]Feuil1!$A$27:$EP$48,16,FALSE))</f>
        <v>0</v>
      </c>
      <c r="BN48" s="706">
        <f>IF(HLOOKUP($AL48&amp;"aa",[11]Feuil1!$A$27:$EP$48,16,FALSE)=FALSE,0,HLOOKUP($AL48&amp;"aa",[11]Feuil1!$A$27:$EP$48,16,FALSE))</f>
        <v>0</v>
      </c>
      <c r="BO48" s="706">
        <f>IF(OR(HLOOKUP($AL48&amp;"a",[11]Feuil1!$A$27:$EP$48,17,FALSE)=FALSE,HLOOKUP($AL48&amp;"a",[11]Feuil1!$A$27:$EP$48,17,FALSE)=""),0,HLOOKUP($AL48&amp;"a",[11]Feuil1!$A$27:$EP$48,17,FALSE))</f>
        <v>0</v>
      </c>
      <c r="BP48" s="706">
        <f>IF(HLOOKUP($AL48&amp;"aa",[11]Feuil1!$A$27:$EP$48,17,FALSE)=FALSE,0,HLOOKUP($AL48&amp;"aa",[11]Feuil1!$A$27:$EP$48,17,FALSE))</f>
        <v>0</v>
      </c>
      <c r="BQ48" s="706">
        <f>IF(OR(HLOOKUP($AL48&amp;"a",[11]Feuil1!$A$27:$EP$48,18,FALSE)=FALSE,HLOOKUP($AL48&amp;"a",[11]Feuil1!$A$27:$EP$48,18,FALSE)=""),0,HLOOKUP($AL48&amp;"a",[11]Feuil1!$A$27:$EP$48,18,FALSE))</f>
        <v>0</v>
      </c>
      <c r="BR48" s="706">
        <f>IF(HLOOKUP($AL48&amp;"aa",[11]Feuil1!$A$27:$EP$48,18,FALSE)=FALSE,0,HLOOKUP($AL48&amp;"aa",[11]Feuil1!$A$27:$EP$48,18,FALSE))</f>
        <v>0</v>
      </c>
      <c r="BS48" s="707">
        <f t="shared" si="29"/>
        <v>5.8095238095238093</v>
      </c>
      <c r="BT48" s="707">
        <f t="shared" si="30"/>
        <v>8.75</v>
      </c>
      <c r="BU48" s="707">
        <f t="shared" si="31"/>
        <v>7.4897959183673466</v>
      </c>
      <c r="BV48" s="561"/>
      <c r="BW48" s="561"/>
      <c r="BX48" t="str">
        <f t="shared" si="34"/>
        <v/>
      </c>
      <c r="BY48" s="709"/>
      <c r="BZ48" s="710"/>
      <c r="CA48" s="711"/>
      <c r="CB48" s="709"/>
      <c r="CC48" s="712"/>
      <c r="CD48" s="709"/>
      <c r="CE48" s="591" t="str">
        <f t="shared" si="35"/>
        <v>608.00</v>
      </c>
      <c r="CF48" s="561"/>
      <c r="CG48" s="561"/>
      <c r="CH48" s="561"/>
      <c r="CI48" s="714"/>
      <c r="CK48" s="715">
        <f t="shared" si="36"/>
        <v>45</v>
      </c>
      <c r="CL48" s="591">
        <f t="shared" si="17"/>
        <v>0</v>
      </c>
      <c r="CM48" s="716">
        <f t="shared" si="45"/>
        <v>-5.4999999999949978E-2</v>
      </c>
      <c r="CN48" s="716">
        <f t="shared" si="45"/>
        <v>5</v>
      </c>
      <c r="CO48" s="716">
        <f t="shared" si="45"/>
        <v>24</v>
      </c>
      <c r="CP48" s="716">
        <f t="shared" si="45"/>
        <v>-8</v>
      </c>
      <c r="CQ48" s="716">
        <f t="shared" si="45"/>
        <v>6</v>
      </c>
      <c r="CR48" s="716">
        <f t="shared" si="45"/>
        <v>0</v>
      </c>
      <c r="CS48" s="716">
        <f t="shared" si="45"/>
        <v>45</v>
      </c>
      <c r="CT48" s="716">
        <f t="shared" si="45"/>
        <v>-6</v>
      </c>
      <c r="CU48" s="716">
        <f t="shared" si="45"/>
        <v>2.9999999999972715E-2</v>
      </c>
      <c r="CV48" s="717" t="str">
        <f t="shared" si="37"/>
        <v>faux</v>
      </c>
      <c r="CW48" s="718">
        <f>IF(E48=0,"",VLOOKUP(B48,[10]liste!AU:BD,10,FALSE))</f>
        <v>2</v>
      </c>
      <c r="CX48" s="719">
        <f t="shared" si="19"/>
        <v>696.03</v>
      </c>
      <c r="CY48" s="720">
        <f t="shared" si="38"/>
        <v>6</v>
      </c>
      <c r="CZ48" s="719"/>
      <c r="DA48" s="719"/>
      <c r="DB48" s="719"/>
      <c r="DC48" s="722" t="str">
        <f t="shared" ca="1" si="20"/>
        <v/>
      </c>
      <c r="DE48" s="723">
        <f t="shared" si="21"/>
        <v>630.05499999999995</v>
      </c>
      <c r="DF48" s="723">
        <f t="shared" si="22"/>
        <v>696.03</v>
      </c>
      <c r="DG48" s="697" t="str">
        <f t="shared" si="23"/>
        <v>Lorho Mathieu</v>
      </c>
      <c r="DH48" s="724">
        <f t="shared" si="24"/>
        <v>6</v>
      </c>
      <c r="DI48" s="724">
        <f t="shared" si="39"/>
        <v>2</v>
      </c>
      <c r="DJ48" s="719">
        <f t="shared" si="25"/>
        <v>651</v>
      </c>
      <c r="DK48" s="719" t="str">
        <f t="shared" si="26"/>
        <v/>
      </c>
      <c r="DL48" s="719" t="str">
        <f t="shared" si="40"/>
        <v/>
      </c>
      <c r="DM48" s="719"/>
      <c r="DN48" s="719"/>
      <c r="DO48" s="719"/>
      <c r="DP48" s="720">
        <f t="shared" si="41"/>
        <v>6</v>
      </c>
      <c r="DQ48" s="591">
        <f ca="1">VLOOKUP(DG48,[10]résultats!$A$2:$DE$70,109,FALSE)</f>
        <v>24</v>
      </c>
      <c r="DR48" s="591">
        <f ca="1">VLOOKUP(DG48,[10]résultats!$A$2:$DG$70,111,FALSE)</f>
        <v>51</v>
      </c>
      <c r="DT48" s="591">
        <f t="shared" si="42"/>
        <v>31</v>
      </c>
      <c r="DU48" s="591">
        <f t="shared" si="43"/>
        <v>29</v>
      </c>
    </row>
    <row r="49" spans="1:125" s="554" customFormat="1" ht="23.1" customHeight="1">
      <c r="A49" s="308">
        <f t="shared" si="9"/>
        <v>32</v>
      </c>
      <c r="B49" s="297" t="str">
        <f>IF(E49=0,"",VLOOKUP(E49,[10]liste!AM:AN,2,FALSE))</f>
        <v>Allano Antoine</v>
      </c>
      <c r="C49" s="762">
        <f>IF(E49=0,"",VLOOKUP(B49,[10]liste!AN:AP,3,FALSE))</f>
        <v>6</v>
      </c>
      <c r="D49" s="691">
        <f t="shared" si="10"/>
        <v>6</v>
      </c>
      <c r="E49" s="692">
        <f>LARGE([10]liste!AM:AM,34)</f>
        <v>617.06399999999996</v>
      </c>
      <c r="F49" s="693">
        <v>620</v>
      </c>
      <c r="G49" s="693">
        <v>627</v>
      </c>
      <c r="H49" s="693">
        <v>638</v>
      </c>
      <c r="I49" s="692">
        <v>624</v>
      </c>
      <c r="J49" s="693">
        <v>611</v>
      </c>
      <c r="K49" s="693">
        <v>610</v>
      </c>
      <c r="L49" s="693">
        <v>618</v>
      </c>
      <c r="M49" s="692">
        <v>652</v>
      </c>
      <c r="N49" s="692">
        <v>652.04</v>
      </c>
      <c r="O49" s="694"/>
      <c r="P49" s="695">
        <f t="shared" ca="1" si="11"/>
        <v>3.999999999996362E-2</v>
      </c>
      <c r="Q49" s="170">
        <f t="shared" si="12"/>
        <v>34.975999999999999</v>
      </c>
      <c r="R49" s="696">
        <f ca="1">IF(U49&lt;MAX(U$16:U$81)/6.2,"NS",IF(B49="",0,VLOOKUP(B49,[10]résultats!AX:DH,63,FALSE)))</f>
        <v>0.49131089903658681</v>
      </c>
      <c r="S49" s="763" t="str">
        <f t="shared" si="13"/>
        <v>Allano Antoine</v>
      </c>
      <c r="T49" s="171">
        <f t="shared" ca="1" si="14"/>
        <v>28</v>
      </c>
      <c r="U49" s="172">
        <f t="shared" ca="1" si="14"/>
        <v>57</v>
      </c>
      <c r="V49" s="292">
        <f ca="1">IF(B49="",0,HLOOKUP(B49&amp;"a",[11]Feuil1!$A$27:$FX$48,20,FALSE)+RAND()*0.0001)</f>
        <v>7.000016889236921</v>
      </c>
      <c r="W49" s="293">
        <f ca="1">IF(B49="",0,HLOOKUP(B49&amp;"a",[11]Feuil1!$A$27:$FX$48,21,FALSE))+RAND()*0.0001</f>
        <v>8.0000631749473801</v>
      </c>
      <c r="X49" s="725">
        <f t="shared" si="27"/>
        <v>648</v>
      </c>
      <c r="Y49" s="701">
        <f t="shared" si="15"/>
        <v>652.04</v>
      </c>
      <c r="Z49" s="743"/>
      <c r="AA49" s="767" t="s">
        <v>614</v>
      </c>
      <c r="AB49" s="730"/>
      <c r="AC49" s="581"/>
      <c r="AD49" s="768" t="s">
        <v>25</v>
      </c>
      <c r="AE49" s="769"/>
      <c r="AF49" s="769"/>
      <c r="AG49" s="769"/>
      <c r="AH49" s="769"/>
      <c r="AI49" s="581"/>
      <c r="AJ49" s="677"/>
      <c r="AK49" s="677">
        <f t="shared" si="28"/>
        <v>53</v>
      </c>
      <c r="AL49" s="705" t="str">
        <f t="shared" si="16"/>
        <v>Allano Antoine</v>
      </c>
      <c r="AM49" s="706">
        <f>IF(OR(HLOOKUP($AL49&amp;"a",[11]Feuil1!$A$27:$EP$48,3,FALSE)=FALSE,HLOOKUP($AL49&amp;"a",[11]Feuil1!$A$27:$EP$48,3,FALSE)=""),0,HLOOKUP($AL49&amp;"a",[11]Feuil1!$A$27:$EP$48,3,FALSE))</f>
        <v>19</v>
      </c>
      <c r="AN49" s="706">
        <f>IF(HLOOKUP($AL49&amp;"aa",[11]Feuil1!$A$27:$EP$48,3,FALSE)=FALSE,0,HLOOKUP($AL49&amp;"aa",[11]Feuil1!$A$27:$EP$48,3,FALSE))</f>
        <v>8</v>
      </c>
      <c r="AO49" s="706">
        <f>IF(OR(HLOOKUP($AL49&amp;"a",[11]Feuil1!$A$27:$EP$48,4,FALSE)=FALSE,HLOOKUP($AL49&amp;"a",[11]Feuil1!$A$27:$EP$48,4,FALSE)=""),0,HLOOKUP($AL49&amp;"a",[11]Feuil1!$A$27:$EP$48,4,FALSE))</f>
        <v>6</v>
      </c>
      <c r="AP49" s="706">
        <f>IF(HLOOKUP($AL49&amp;"aa",[11]Feuil1!$A$27:$EP$48,4,FALSE)=FALSE,0,HLOOKUP($AL49&amp;"aa",[11]Feuil1!$A$27:$EP$48,4,FALSE))</f>
        <v>9</v>
      </c>
      <c r="AQ49" s="706">
        <f>IF(OR(HLOOKUP($AL49&amp;"a",[11]Feuil1!$A$27:$EP$48,5,FALSE)=FALSE,HLOOKUP($AL49&amp;"a",[11]Feuil1!$A$27:$EP$48,5,FALSE)=""),0,HLOOKUP($AL49&amp;"a",[11]Feuil1!$A$27:$EP$48,5,FALSE))</f>
        <v>1</v>
      </c>
      <c r="AR49" s="706">
        <f>IF(HLOOKUP($AL49&amp;"aa",[11]Feuil1!$A$27:$EP$48,5,FALSE)=FALSE,0,HLOOKUP($AL49&amp;"aa",[11]Feuil1!$A$27:$EP$48,5,FALSE))</f>
        <v>2</v>
      </c>
      <c r="AS49" s="706">
        <f>IF(OR(HLOOKUP($AL49&amp;"a",[11]Feuil1!$A$27:$EP$48,6,FALSE)=FALSE,HLOOKUP($AL49&amp;"a",[11]Feuil1!$A$27:$EP$48,6,FALSE)=""),0,HLOOKUP($AL49&amp;"a",[11]Feuil1!$A$27:$EP$48,6,FALSE))</f>
        <v>0</v>
      </c>
      <c r="AT49" s="706">
        <f>IF(HLOOKUP($AL49&amp;"aa",[11]Feuil1!$A$27:$EP$48,6,FALSE)=FALSE,0,HLOOKUP($AL49&amp;"aa",[11]Feuil1!$A$27:$EP$48,6,FALSE))</f>
        <v>4</v>
      </c>
      <c r="AU49" s="706">
        <f>IF(OR(HLOOKUP($AL49&amp;"a",[11]Feuil1!$A$27:$EP$48,7,FALSE)=FALSE,HLOOKUP($AL49&amp;"a",[11]Feuil1!$A$27:$EP$48,7,FALSE)=""),0,HLOOKUP($AL49&amp;"a",[11]Feuil1!$A$27:$EP$48,7,FALSE))</f>
        <v>0</v>
      </c>
      <c r="AV49" s="706">
        <f>IF(HLOOKUP($AL49&amp;"aa",[11]Feuil1!$A$27:$EP$48,7,FALSE)=FALSE,0,HLOOKUP($AL49&amp;"aa",[11]Feuil1!$A$27:$EP$48,7,FALSE))</f>
        <v>1</v>
      </c>
      <c r="AW49" s="706">
        <f>IF(OR(HLOOKUP($AL49&amp;"a",[11]Feuil1!$A$27:$EP$48,8,FALSE)=FALSE,HLOOKUP($AL49&amp;"a",[11]Feuil1!$A$27:$EP$48,8,FALSE)=""),0,HLOOKUP($AL49&amp;"a",[11]Feuil1!$A$27:$EP$48,8,FALSE))</f>
        <v>0</v>
      </c>
      <c r="AX49" s="706">
        <f>IF(HLOOKUP($AL49&amp;"aa",[11]Feuil1!$A$27:$EP$48,8,FALSE)=FALSE,0,HLOOKUP($AL49&amp;"aa",[11]Feuil1!$A$27:$EP$48,8,FALSE))</f>
        <v>3</v>
      </c>
      <c r="AY49" s="706">
        <f>IF(OR(HLOOKUP($AL49&amp;"a",[11]Feuil1!$A$27:$EP$48,9,FALSE)=FALSE,HLOOKUP($AL49&amp;"a",[11]Feuil1!$A$27:$EP$48,9,FALSE)=""),0,HLOOKUP($AL49&amp;"a",[11]Feuil1!$A$27:$EP$48,9,FALSE))</f>
        <v>0</v>
      </c>
      <c r="AZ49" s="706">
        <f>IF(HLOOKUP($AL49&amp;"aa",[11]Feuil1!$A$27:$EP$48,9,FALSE)=FALSE,0,HLOOKUP($AL49&amp;"aa",[11]Feuil1!$A$27:$EP$48,9,FALSE))</f>
        <v>0</v>
      </c>
      <c r="BA49" s="706">
        <f>IF(OR(HLOOKUP($AL49&amp;"a",[11]Feuil1!$A$27:$EP$48,10,FALSE)=FALSE,HLOOKUP($AL49&amp;"a",[11]Feuil1!$A$27:$EP$48,10,FALSE)=""),0,HLOOKUP($AL49&amp;"a",[11]Feuil1!$A$27:$EP$48,10,FALSE))</f>
        <v>0</v>
      </c>
      <c r="BB49" s="706">
        <f>IF(HLOOKUP($AL49&amp;"aa",[11]Feuil1!$A$27:$EP$48,10,FALSE)=FALSE,0,HLOOKUP($AL49&amp;"aa",[11]Feuil1!$A$27:$EP$48,10,FALSE))</f>
        <v>0</v>
      </c>
      <c r="BC49" s="706">
        <f>IF(OR(HLOOKUP($AL49&amp;"a",[11]Feuil1!$A$27:$EP$48,11,FALSE)=FALSE,HLOOKUP($AL49&amp;"a",[11]Feuil1!$A$27:$EP$48,11,FALSE)=""),0,HLOOKUP($AL49&amp;"a",[11]Feuil1!$A$27:$EP$48,11,FALSE))</f>
        <v>0</v>
      </c>
      <c r="BD49" s="706">
        <f>IF(HLOOKUP($AL49&amp;"aa",[11]Feuil1!$A$27:$EP$48,11,FALSE)=FALSE,0,HLOOKUP($AL49&amp;"aa",[11]Feuil1!$A$27:$EP$48,11,FALSE))</f>
        <v>0</v>
      </c>
      <c r="BE49" s="706">
        <f>IF(OR(HLOOKUP($AL49&amp;"a",[11]Feuil1!$A$27:$EP$48,12,FALSE)=FALSE,HLOOKUP($AL49&amp;"a",[11]Feuil1!$A$27:$EP$48,12,FALSE)=""),0,HLOOKUP($AL49&amp;"a",[11]Feuil1!$A$27:$EP$48,12,FALSE))</f>
        <v>0</v>
      </c>
      <c r="BF49" s="706">
        <f>IF(HLOOKUP($AL49&amp;"aa",[11]Feuil1!$A$27:$EP$48,12,FALSE)=FALSE,0,HLOOKUP($AL49&amp;"aa",[11]Feuil1!$A$27:$EP$48,12,FALSE))</f>
        <v>0</v>
      </c>
      <c r="BG49" s="706">
        <f>IF(OR(HLOOKUP($AL49&amp;"a",[11]Feuil1!$A$27:$EP$48,13,FALSE)=FALSE,HLOOKUP($AL49&amp;"a",[11]Feuil1!$A$27:$EP$48,13,FALSE)=""),0,HLOOKUP($AL49&amp;"a",[11]Feuil1!$A$27:$EP$48,13,FALSE))</f>
        <v>0</v>
      </c>
      <c r="BH49" s="706">
        <f>IF(HLOOKUP($AL49&amp;"aa",[11]Feuil1!$A$27:$EP$48,13,FALSE)=FALSE,0,HLOOKUP($AL49&amp;"aa",[11]Feuil1!$A$27:$EP$48,13,FALSE))</f>
        <v>0</v>
      </c>
      <c r="BI49" s="706">
        <f>IF(OR(HLOOKUP($AL49&amp;"a",[11]Feuil1!$A$27:$EP$48,14,FALSE)=FALSE,HLOOKUP($AL49&amp;"a",[11]Feuil1!$A$27:$EP$48,14,FALSE)=""),0,HLOOKUP($AL49&amp;"a",[11]Feuil1!$A$27:$EP$48,14,FALSE))</f>
        <v>0</v>
      </c>
      <c r="BJ49" s="706">
        <f>IF(HLOOKUP($AL49&amp;"aa",[11]Feuil1!$A$27:$EP$48,14,FALSE)=FALSE,0,HLOOKUP($AL49&amp;"aa",[11]Feuil1!$A$27:$EP$48,14,FALSE))</f>
        <v>0</v>
      </c>
      <c r="BK49" s="706">
        <f>IF(OR(HLOOKUP($AL49&amp;"a",[11]Feuil1!$A$27:$EP$48,15,FALSE)=FALSE,HLOOKUP($AL49&amp;"a",[11]Feuil1!$A$27:$EP$48,15,FALSE)=""),0,HLOOKUP($AL49&amp;"a",[11]Feuil1!$A$27:$EP$48,15,FALSE))</f>
        <v>0</v>
      </c>
      <c r="BL49" s="706">
        <f>IF(HLOOKUP($AL49&amp;"aa",[11]Feuil1!$A$27:$EP$48,15,FALSE)=FALSE,0,HLOOKUP($AL49&amp;"aa",[11]Feuil1!$A$27:$EP$48,15,FALSE))</f>
        <v>0</v>
      </c>
      <c r="BM49" s="706">
        <f>IF(OR(HLOOKUP($AL49&amp;"a",[11]Feuil1!$A$27:$EP$48,16,FALSE)=FALSE,HLOOKUP($AL49&amp;"a",[11]Feuil1!$A$27:$EP$48,16,FALSE)=""),0,HLOOKUP($AL49&amp;"a",[11]Feuil1!$A$27:$EP$48,16,FALSE))</f>
        <v>0</v>
      </c>
      <c r="BN49" s="706">
        <f>IF(HLOOKUP($AL49&amp;"aa",[11]Feuil1!$A$27:$EP$48,16,FALSE)=FALSE,0,HLOOKUP($AL49&amp;"aa",[11]Feuil1!$A$27:$EP$48,16,FALSE))</f>
        <v>0</v>
      </c>
      <c r="BO49" s="706">
        <f>IF(OR(HLOOKUP($AL49&amp;"a",[11]Feuil1!$A$27:$EP$48,17,FALSE)=FALSE,HLOOKUP($AL49&amp;"a",[11]Feuil1!$A$27:$EP$48,17,FALSE)=""),0,HLOOKUP($AL49&amp;"a",[11]Feuil1!$A$27:$EP$48,17,FALSE))</f>
        <v>0</v>
      </c>
      <c r="BP49" s="706">
        <f>IF(HLOOKUP($AL49&amp;"aa",[11]Feuil1!$A$27:$EP$48,17,FALSE)=FALSE,0,HLOOKUP($AL49&amp;"aa",[11]Feuil1!$A$27:$EP$48,17,FALSE))</f>
        <v>0</v>
      </c>
      <c r="BQ49" s="706">
        <f>IF(OR(HLOOKUP($AL49&amp;"a",[11]Feuil1!$A$27:$EP$48,18,FALSE)=FALSE,HLOOKUP($AL49&amp;"a",[11]Feuil1!$A$27:$EP$48,18,FALSE)=""),0,HLOOKUP($AL49&amp;"a",[11]Feuil1!$A$27:$EP$48,18,FALSE))</f>
        <v>0</v>
      </c>
      <c r="BR49" s="706">
        <f>IF(HLOOKUP($AL49&amp;"aa",[11]Feuil1!$A$27:$EP$48,18,FALSE)=FALSE,0,HLOOKUP($AL49&amp;"aa",[11]Feuil1!$A$27:$EP$48,18,FALSE))</f>
        <v>0</v>
      </c>
      <c r="BS49" s="707">
        <f t="shared" si="29"/>
        <v>5.3076923076923075</v>
      </c>
      <c r="BT49" s="707">
        <f t="shared" si="30"/>
        <v>6.6296296296296298</v>
      </c>
      <c r="BU49" s="707">
        <f t="shared" si="31"/>
        <v>5.9811320754716979</v>
      </c>
      <c r="BV49" s="561"/>
      <c r="BW49" s="561"/>
      <c r="BX49" t="str">
        <f t="shared" si="34"/>
        <v/>
      </c>
      <c r="BY49"/>
      <c r="BZ49"/>
      <c r="CA49"/>
      <c r="CB49"/>
      <c r="CC49"/>
      <c r="CD49"/>
      <c r="CE49" s="591" t="e">
        <f>VLOOKUP(B49,$BX$16:$CD$101,6,FALSE)</f>
        <v>#N/A</v>
      </c>
      <c r="CF49" s="561"/>
      <c r="CG49" s="561"/>
      <c r="CH49" s="561"/>
      <c r="CI49" s="714"/>
      <c r="CK49" s="715">
        <f t="shared" si="36"/>
        <v>34</v>
      </c>
      <c r="CL49" s="591">
        <f t="shared" si="17"/>
        <v>0</v>
      </c>
      <c r="CM49" s="716">
        <f t="shared" si="45"/>
        <v>2.9360000000000355</v>
      </c>
      <c r="CN49" s="716">
        <f t="shared" si="45"/>
        <v>7</v>
      </c>
      <c r="CO49" s="716">
        <f t="shared" si="45"/>
        <v>11</v>
      </c>
      <c r="CP49" s="716">
        <f t="shared" si="45"/>
        <v>-14</v>
      </c>
      <c r="CQ49" s="716">
        <f t="shared" si="45"/>
        <v>-13</v>
      </c>
      <c r="CR49" s="716">
        <f t="shared" si="45"/>
        <v>-1</v>
      </c>
      <c r="CS49" s="716">
        <f t="shared" si="45"/>
        <v>8</v>
      </c>
      <c r="CT49" s="716">
        <f t="shared" si="45"/>
        <v>34</v>
      </c>
      <c r="CU49" s="716">
        <f t="shared" si="45"/>
        <v>3.999999999996362E-2</v>
      </c>
      <c r="CV49" s="717" t="str">
        <f t="shared" si="37"/>
        <v>faux</v>
      </c>
      <c r="CW49" s="718">
        <f>IF(E49=0,"",VLOOKUP(B49,[10]liste!AU:BD,10,FALSE))</f>
        <v>2</v>
      </c>
      <c r="CX49" s="719">
        <f t="shared" si="19"/>
        <v>652.04</v>
      </c>
      <c r="CY49" s="720">
        <f t="shared" si="38"/>
        <v>6</v>
      </c>
      <c r="CZ49" s="719"/>
      <c r="DA49" s="719"/>
      <c r="DB49" s="719"/>
      <c r="DC49" s="722" t="str">
        <f t="shared" ca="1" si="20"/>
        <v>x</v>
      </c>
      <c r="DE49" s="723">
        <f t="shared" si="21"/>
        <v>617.06399999999996</v>
      </c>
      <c r="DF49" s="723">
        <f t="shared" si="22"/>
        <v>652.04</v>
      </c>
      <c r="DG49" s="697" t="str">
        <f t="shared" si="23"/>
        <v>Allano Antoine</v>
      </c>
      <c r="DH49" s="724">
        <f t="shared" si="24"/>
        <v>4</v>
      </c>
      <c r="DI49" s="724">
        <f t="shared" si="39"/>
        <v>2</v>
      </c>
      <c r="DJ49" s="719">
        <f t="shared" si="25"/>
        <v>624</v>
      </c>
      <c r="DK49" s="719" t="str">
        <f t="shared" si="26"/>
        <v/>
      </c>
      <c r="DL49" s="719" t="str">
        <f t="shared" si="40"/>
        <v/>
      </c>
      <c r="DM49" s="719"/>
      <c r="DN49" s="719"/>
      <c r="DO49" s="719"/>
      <c r="DP49" s="720">
        <f t="shared" si="41"/>
        <v>6</v>
      </c>
      <c r="DQ49" s="591">
        <f ca="1">VLOOKUP(DG49,[10]résultats!$A$2:$DE$70,109,FALSE)</f>
        <v>28</v>
      </c>
      <c r="DR49" s="591">
        <f ca="1">VLOOKUP(DG49,[10]résultats!$A$2:$DG$70,111,FALSE)</f>
        <v>57</v>
      </c>
      <c r="DT49" s="591">
        <f t="shared" si="42"/>
        <v>34</v>
      </c>
      <c r="DU49" s="591">
        <f t="shared" si="43"/>
        <v>32</v>
      </c>
    </row>
    <row r="50" spans="1:125" s="554" customFormat="1" ht="23.1" customHeight="1">
      <c r="A50" s="308">
        <f t="shared" si="9"/>
        <v>31</v>
      </c>
      <c r="B50" s="297" t="str">
        <f>IF(E50=0,"",VLOOKUP(E50,[10]liste!AM:AN,2,FALSE))</f>
        <v>Le Cam Alan</v>
      </c>
      <c r="C50" s="762">
        <f>IF(E50=0,"",VLOOKUP(B50,[10]liste!AN:AP,3,FALSE))</f>
        <v>5</v>
      </c>
      <c r="D50" s="691">
        <f t="shared" si="10"/>
        <v>6</v>
      </c>
      <c r="E50" s="692">
        <f>LARGE([10]liste!AM:AM,35)</f>
        <v>586.05100000000004</v>
      </c>
      <c r="F50" s="693">
        <v>586</v>
      </c>
      <c r="G50" s="693">
        <v>589</v>
      </c>
      <c r="H50" s="693">
        <v>606</v>
      </c>
      <c r="I50" s="692">
        <v>632</v>
      </c>
      <c r="J50" s="693">
        <v>655</v>
      </c>
      <c r="K50" s="693">
        <v>653</v>
      </c>
      <c r="L50" s="693">
        <v>675</v>
      </c>
      <c r="M50" s="692">
        <v>675.1</v>
      </c>
      <c r="N50" s="692">
        <v>675</v>
      </c>
      <c r="O50" s="694"/>
      <c r="P50" s="695">
        <f t="shared" ca="1" si="11"/>
        <v>-0.10000000000002274</v>
      </c>
      <c r="Q50" s="170">
        <f t="shared" si="12"/>
        <v>88.948999999999955</v>
      </c>
      <c r="R50" s="696">
        <f ca="1">IF(U50&lt;MAX(U$16:U$81)/6.2,"NS",IF(B50="",0,VLOOKUP(B50,[10]résultats!AX:DH,63,FALSE)))</f>
        <v>0.60005445504605526</v>
      </c>
      <c r="S50" s="763" t="str">
        <f t="shared" si="13"/>
        <v>Le Cam Alan</v>
      </c>
      <c r="T50" s="171">
        <f t="shared" ca="1" si="14"/>
        <v>18</v>
      </c>
      <c r="U50" s="172">
        <f t="shared" ca="1" si="14"/>
        <v>30</v>
      </c>
      <c r="V50" s="770">
        <f ca="1">IF(B50="",0,HLOOKUP(B50&amp;"a",[11]Feuil1!$A$27:$FX$48,20,FALSE)+RAND()*0.0001)</f>
        <v>7.0000653890309037</v>
      </c>
      <c r="W50" s="771">
        <f ca="1">IF(B50="",0,HLOOKUP(B50&amp;"a",[11]Feuil1!$A$27:$FX$48,21,FALSE))+RAND()*0.0001</f>
        <v>1.0000741826827002</v>
      </c>
      <c r="X50" s="772">
        <f t="shared" si="27"/>
        <v>709</v>
      </c>
      <c r="Y50" s="701">
        <f t="shared" si="15"/>
        <v>675.1</v>
      </c>
      <c r="Z50" s="773" t="s">
        <v>615</v>
      </c>
      <c r="AA50" s="774"/>
      <c r="AB50" s="730" t="str">
        <f>""</f>
        <v/>
      </c>
      <c r="AC50" s="730" t="str">
        <f>""</f>
        <v/>
      </c>
      <c r="AD50" s="775" t="s">
        <v>26</v>
      </c>
      <c r="AE50" s="776" t="s">
        <v>616</v>
      </c>
      <c r="AF50" s="777" t="s">
        <v>617</v>
      </c>
      <c r="AG50" s="778"/>
      <c r="AH50" s="779" t="s">
        <v>27</v>
      </c>
      <c r="AI50" s="780"/>
      <c r="AJ50" s="677"/>
      <c r="AK50" s="677">
        <f t="shared" si="28"/>
        <v>27</v>
      </c>
      <c r="AL50" s="705" t="str">
        <f t="shared" si="16"/>
        <v>Le Cam Alan</v>
      </c>
      <c r="AM50" s="706">
        <f>IF(OR(HLOOKUP($AL50&amp;"a",[11]Feuil1!$A$27:$EP$48,3,FALSE)=FALSE,HLOOKUP($AL50&amp;"a",[11]Feuil1!$A$27:$EP$48,3,FALSE)=""),0,HLOOKUP($AL50&amp;"a",[11]Feuil1!$A$27:$EP$48,3,FALSE))</f>
        <v>11</v>
      </c>
      <c r="AN50" s="706">
        <f>IF(HLOOKUP($AL50&amp;"aa",[11]Feuil1!$A$27:$EP$48,3,FALSE)=FALSE,0,HLOOKUP($AL50&amp;"aa",[11]Feuil1!$A$27:$EP$48,3,FALSE))</f>
        <v>1</v>
      </c>
      <c r="AO50" s="706">
        <f>IF(OR(HLOOKUP($AL50&amp;"a",[11]Feuil1!$A$27:$EP$48,4,FALSE)=FALSE,HLOOKUP($AL50&amp;"a",[11]Feuil1!$A$27:$EP$48,4,FALSE)=""),0,HLOOKUP($AL50&amp;"a",[11]Feuil1!$A$27:$EP$48,4,FALSE))</f>
        <v>4</v>
      </c>
      <c r="AP50" s="706">
        <f>IF(HLOOKUP($AL50&amp;"aa",[11]Feuil1!$A$27:$EP$48,4,FALSE)=FALSE,0,HLOOKUP($AL50&amp;"aa",[11]Feuil1!$A$27:$EP$48,4,FALSE))</f>
        <v>0</v>
      </c>
      <c r="AQ50" s="706">
        <f>IF(OR(HLOOKUP($AL50&amp;"a",[11]Feuil1!$A$27:$EP$48,5,FALSE)=FALSE,HLOOKUP($AL50&amp;"a",[11]Feuil1!$A$27:$EP$48,5,FALSE)=""),0,HLOOKUP($AL50&amp;"a",[11]Feuil1!$A$27:$EP$48,5,FALSE))</f>
        <v>1</v>
      </c>
      <c r="AR50" s="706">
        <f>IF(HLOOKUP($AL50&amp;"aa",[11]Feuil1!$A$27:$EP$48,5,FALSE)=FALSE,0,HLOOKUP($AL50&amp;"aa",[11]Feuil1!$A$27:$EP$48,5,FALSE))</f>
        <v>1</v>
      </c>
      <c r="AS50" s="706">
        <f>IF(OR(HLOOKUP($AL50&amp;"a",[11]Feuil1!$A$27:$EP$48,6,FALSE)=FALSE,HLOOKUP($AL50&amp;"a",[11]Feuil1!$A$27:$EP$48,6,FALSE)=""),0,HLOOKUP($AL50&amp;"a",[11]Feuil1!$A$27:$EP$48,6,FALSE))</f>
        <v>2</v>
      </c>
      <c r="AT50" s="706">
        <f>IF(HLOOKUP($AL50&amp;"aa",[11]Feuil1!$A$27:$EP$48,6,FALSE)=FALSE,0,HLOOKUP($AL50&amp;"aa",[11]Feuil1!$A$27:$EP$48,6,FALSE))</f>
        <v>2</v>
      </c>
      <c r="AU50" s="706">
        <f>IF(OR(HLOOKUP($AL50&amp;"a",[11]Feuil1!$A$27:$EP$48,7,FALSE)=FALSE,HLOOKUP($AL50&amp;"a",[11]Feuil1!$A$27:$EP$48,7,FALSE)=""),0,HLOOKUP($AL50&amp;"a",[11]Feuil1!$A$27:$EP$48,7,FALSE))</f>
        <v>0</v>
      </c>
      <c r="AV50" s="706">
        <f>IF(HLOOKUP($AL50&amp;"aa",[11]Feuil1!$A$27:$EP$48,7,FALSE)=FALSE,0,HLOOKUP($AL50&amp;"aa",[11]Feuil1!$A$27:$EP$48,7,FALSE))</f>
        <v>2</v>
      </c>
      <c r="AW50" s="706">
        <f>IF(OR(HLOOKUP($AL50&amp;"a",[11]Feuil1!$A$27:$EP$48,8,FALSE)=FALSE,HLOOKUP($AL50&amp;"a",[11]Feuil1!$A$27:$EP$48,8,FALSE)=""),0,HLOOKUP($AL50&amp;"a",[11]Feuil1!$A$27:$EP$48,8,FALSE))</f>
        <v>0</v>
      </c>
      <c r="AX50" s="706">
        <f>IF(HLOOKUP($AL50&amp;"aa",[11]Feuil1!$A$27:$EP$48,8,FALSE)=FALSE,0,HLOOKUP($AL50&amp;"aa",[11]Feuil1!$A$27:$EP$48,8,FALSE))</f>
        <v>3</v>
      </c>
      <c r="AY50" s="706">
        <f>IF(OR(HLOOKUP($AL50&amp;"a",[11]Feuil1!$A$27:$EP$48,9,FALSE)=FALSE,HLOOKUP($AL50&amp;"a",[11]Feuil1!$A$27:$EP$48,9,FALSE)=""),0,HLOOKUP($AL50&amp;"a",[11]Feuil1!$A$27:$EP$48,9,FALSE))</f>
        <v>0</v>
      </c>
      <c r="AZ50" s="706">
        <f>IF(HLOOKUP($AL50&amp;"aa",[11]Feuil1!$A$27:$EP$48,9,FALSE)=FALSE,0,HLOOKUP($AL50&amp;"aa",[11]Feuil1!$A$27:$EP$48,9,FALSE))</f>
        <v>0</v>
      </c>
      <c r="BA50" s="706">
        <f>IF(OR(HLOOKUP($AL50&amp;"a",[11]Feuil1!$A$27:$EP$48,10,FALSE)=FALSE,HLOOKUP($AL50&amp;"a",[11]Feuil1!$A$27:$EP$48,10,FALSE)=""),0,HLOOKUP($AL50&amp;"a",[11]Feuil1!$A$27:$EP$48,10,FALSE))</f>
        <v>0</v>
      </c>
      <c r="BB50" s="706">
        <f>IF(HLOOKUP($AL50&amp;"aa",[11]Feuil1!$A$27:$EP$48,10,FALSE)=FALSE,0,HLOOKUP($AL50&amp;"aa",[11]Feuil1!$A$27:$EP$48,10,FALSE))</f>
        <v>0</v>
      </c>
      <c r="BC50" s="706">
        <f>IF(OR(HLOOKUP($AL50&amp;"a",[11]Feuil1!$A$27:$EP$48,11,FALSE)=FALSE,HLOOKUP($AL50&amp;"a",[11]Feuil1!$A$27:$EP$48,11,FALSE)=""),0,HLOOKUP($AL50&amp;"a",[11]Feuil1!$A$27:$EP$48,11,FALSE))</f>
        <v>0</v>
      </c>
      <c r="BD50" s="706">
        <f>IF(HLOOKUP($AL50&amp;"aa",[11]Feuil1!$A$27:$EP$48,11,FALSE)=FALSE,0,HLOOKUP($AL50&amp;"aa",[11]Feuil1!$A$27:$EP$48,11,FALSE))</f>
        <v>0</v>
      </c>
      <c r="BE50" s="706">
        <f>IF(OR(HLOOKUP($AL50&amp;"a",[11]Feuil1!$A$27:$EP$48,12,FALSE)=FALSE,HLOOKUP($AL50&amp;"a",[11]Feuil1!$A$27:$EP$48,12,FALSE)=""),0,HLOOKUP($AL50&amp;"a",[11]Feuil1!$A$27:$EP$48,12,FALSE))</f>
        <v>0</v>
      </c>
      <c r="BF50" s="706">
        <f>IF(HLOOKUP($AL50&amp;"aa",[11]Feuil1!$A$27:$EP$48,12,FALSE)=FALSE,0,HLOOKUP($AL50&amp;"aa",[11]Feuil1!$A$27:$EP$48,12,FALSE))</f>
        <v>0</v>
      </c>
      <c r="BG50" s="706">
        <f>IF(OR(HLOOKUP($AL50&amp;"a",[11]Feuil1!$A$27:$EP$48,13,FALSE)=FALSE,HLOOKUP($AL50&amp;"a",[11]Feuil1!$A$27:$EP$48,13,FALSE)=""),0,HLOOKUP($AL50&amp;"a",[11]Feuil1!$A$27:$EP$48,13,FALSE))</f>
        <v>0</v>
      </c>
      <c r="BH50" s="706">
        <f>IF(HLOOKUP($AL50&amp;"aa",[11]Feuil1!$A$27:$EP$48,13,FALSE)=FALSE,0,HLOOKUP($AL50&amp;"aa",[11]Feuil1!$A$27:$EP$48,13,FALSE))</f>
        <v>0</v>
      </c>
      <c r="BI50" s="706">
        <f>IF(OR(HLOOKUP($AL50&amp;"a",[11]Feuil1!$A$27:$EP$48,14,FALSE)=FALSE,HLOOKUP($AL50&amp;"a",[11]Feuil1!$A$27:$EP$48,14,FALSE)=""),0,HLOOKUP($AL50&amp;"a",[11]Feuil1!$A$27:$EP$48,14,FALSE))</f>
        <v>0</v>
      </c>
      <c r="BJ50" s="706">
        <f>IF(HLOOKUP($AL50&amp;"aa",[11]Feuil1!$A$27:$EP$48,14,FALSE)=FALSE,0,HLOOKUP($AL50&amp;"aa",[11]Feuil1!$A$27:$EP$48,14,FALSE))</f>
        <v>0</v>
      </c>
      <c r="BK50" s="706">
        <f>IF(OR(HLOOKUP($AL50&amp;"a",[11]Feuil1!$A$27:$EP$48,15,FALSE)=FALSE,HLOOKUP($AL50&amp;"a",[11]Feuil1!$A$27:$EP$48,15,FALSE)=""),0,HLOOKUP($AL50&amp;"a",[11]Feuil1!$A$27:$EP$48,15,FALSE))</f>
        <v>0</v>
      </c>
      <c r="BL50" s="706">
        <f>IF(HLOOKUP($AL50&amp;"aa",[11]Feuil1!$A$27:$EP$48,15,FALSE)=FALSE,0,HLOOKUP($AL50&amp;"aa",[11]Feuil1!$A$27:$EP$48,15,FALSE))</f>
        <v>0</v>
      </c>
      <c r="BM50" s="706">
        <f>IF(OR(HLOOKUP($AL50&amp;"a",[11]Feuil1!$A$27:$EP$48,16,FALSE)=FALSE,HLOOKUP($AL50&amp;"a",[11]Feuil1!$A$27:$EP$48,16,FALSE)=""),0,HLOOKUP($AL50&amp;"a",[11]Feuil1!$A$27:$EP$48,16,FALSE))</f>
        <v>0</v>
      </c>
      <c r="BN50" s="706">
        <f>IF(HLOOKUP($AL50&amp;"aa",[11]Feuil1!$A$27:$EP$48,16,FALSE)=FALSE,0,HLOOKUP($AL50&amp;"aa",[11]Feuil1!$A$27:$EP$48,16,FALSE))</f>
        <v>0</v>
      </c>
      <c r="BO50" s="706">
        <f>IF(OR(HLOOKUP($AL50&amp;"a",[11]Feuil1!$A$27:$EP$48,17,FALSE)=FALSE,HLOOKUP($AL50&amp;"a",[11]Feuil1!$A$27:$EP$48,17,FALSE)=""),0,HLOOKUP($AL50&amp;"a",[11]Feuil1!$A$27:$EP$48,17,FALSE))</f>
        <v>0</v>
      </c>
      <c r="BP50" s="706">
        <f>IF(HLOOKUP($AL50&amp;"aa",[11]Feuil1!$A$27:$EP$48,17,FALSE)=FALSE,0,HLOOKUP($AL50&amp;"aa",[11]Feuil1!$A$27:$EP$48,17,FALSE))</f>
        <v>0</v>
      </c>
      <c r="BQ50" s="706">
        <f>IF(OR(HLOOKUP($AL50&amp;"a",[11]Feuil1!$A$27:$EP$48,18,FALSE)=FALSE,HLOOKUP($AL50&amp;"a",[11]Feuil1!$A$27:$EP$48,18,FALSE)=""),0,HLOOKUP($AL50&amp;"a",[11]Feuil1!$A$27:$EP$48,18,FALSE))</f>
        <v>0</v>
      </c>
      <c r="BR50" s="706">
        <f>IF(HLOOKUP($AL50&amp;"aa",[11]Feuil1!$A$27:$EP$48,18,FALSE)=FALSE,0,HLOOKUP($AL50&amp;"aa",[11]Feuil1!$A$27:$EP$48,18,FALSE))</f>
        <v>0</v>
      </c>
      <c r="BS50" s="707">
        <f t="shared" si="29"/>
        <v>5.666666666666667</v>
      </c>
      <c r="BT50" s="707">
        <f t="shared" si="30"/>
        <v>8.4444444444444446</v>
      </c>
      <c r="BU50" s="707">
        <f t="shared" si="31"/>
        <v>6.5925925925925926</v>
      </c>
      <c r="BV50" s="561"/>
      <c r="BW50" s="561"/>
      <c r="BX50" t="str">
        <f t="shared" si="34"/>
        <v/>
      </c>
      <c r="BY50"/>
      <c r="BZ50"/>
      <c r="CA50"/>
      <c r="CB50"/>
      <c r="CC50"/>
      <c r="CD50"/>
      <c r="CE50" s="591" t="e">
        <f>VLOOKUP(B50,$BX$16:$CD$101,6,FALSE)</f>
        <v>#N/A</v>
      </c>
      <c r="CF50" s="781"/>
      <c r="CG50" s="781"/>
      <c r="CH50" s="781"/>
      <c r="CI50" s="589"/>
      <c r="CK50" s="715">
        <f t="shared" si="36"/>
        <v>26</v>
      </c>
      <c r="CL50" s="591">
        <f t="shared" si="17"/>
        <v>2</v>
      </c>
      <c r="CM50" s="716">
        <f t="shared" si="45"/>
        <v>-5.1000000000044565E-2</v>
      </c>
      <c r="CN50" s="716">
        <f t="shared" si="45"/>
        <v>3</v>
      </c>
      <c r="CO50" s="716">
        <f t="shared" si="45"/>
        <v>17</v>
      </c>
      <c r="CP50" s="716">
        <f t="shared" si="45"/>
        <v>26</v>
      </c>
      <c r="CQ50" s="716">
        <f t="shared" si="45"/>
        <v>23</v>
      </c>
      <c r="CR50" s="716">
        <f t="shared" si="45"/>
        <v>-2</v>
      </c>
      <c r="CS50" s="716">
        <f t="shared" si="45"/>
        <v>22</v>
      </c>
      <c r="CT50" s="716">
        <f t="shared" si="45"/>
        <v>0.10000000000002274</v>
      </c>
      <c r="CU50" s="716">
        <f t="shared" si="45"/>
        <v>-0.10000000000002274</v>
      </c>
      <c r="CV50" s="717" t="str">
        <f t="shared" si="37"/>
        <v>faux</v>
      </c>
      <c r="CW50" s="718">
        <f>IF(E50=0,"",VLOOKUP(B50,[10]liste!AU:BD,10,FALSE))</f>
        <v>2</v>
      </c>
      <c r="CX50" s="719">
        <f t="shared" si="19"/>
        <v>675</v>
      </c>
      <c r="CY50" s="720">
        <f t="shared" si="38"/>
        <v>6</v>
      </c>
      <c r="CZ50" s="719"/>
      <c r="DA50" s="719"/>
      <c r="DB50" s="719"/>
      <c r="DC50" s="722" t="str">
        <f t="shared" ca="1" si="20"/>
        <v/>
      </c>
      <c r="DE50" s="723">
        <f t="shared" si="21"/>
        <v>586.05100000000004</v>
      </c>
      <c r="DF50" s="723">
        <f t="shared" si="22"/>
        <v>675</v>
      </c>
      <c r="DG50" s="697" t="str">
        <f t="shared" si="23"/>
        <v>Le Cam Alan</v>
      </c>
      <c r="DH50" s="724">
        <f t="shared" si="24"/>
        <v>6</v>
      </c>
      <c r="DI50" s="724">
        <f t="shared" si="39"/>
        <v>2</v>
      </c>
      <c r="DJ50" s="719">
        <f t="shared" si="25"/>
        <v>632</v>
      </c>
      <c r="DK50" s="719" t="str">
        <f t="shared" si="26"/>
        <v/>
      </c>
      <c r="DL50" s="719" t="str">
        <f t="shared" si="40"/>
        <v/>
      </c>
      <c r="DM50" s="719"/>
      <c r="DN50" s="719"/>
      <c r="DO50" s="719"/>
      <c r="DP50" s="720">
        <f t="shared" si="41"/>
        <v>6</v>
      </c>
      <c r="DQ50" s="591">
        <f ca="1">VLOOKUP(DG50,[10]résultats!$A$2:$DE$70,109,FALSE)</f>
        <v>18</v>
      </c>
      <c r="DR50" s="591">
        <f ca="1">VLOOKUP(DG50,[10]résultats!$A$2:$DG$70,111,FALSE)</f>
        <v>30</v>
      </c>
      <c r="DT50" s="591">
        <f t="shared" si="42"/>
        <v>33</v>
      </c>
      <c r="DU50" s="591">
        <f t="shared" si="43"/>
        <v>31</v>
      </c>
    </row>
    <row r="51" spans="1:125" s="554" customFormat="1" ht="23.1" customHeight="1">
      <c r="A51" s="308">
        <f t="shared" si="9"/>
        <v>37</v>
      </c>
      <c r="B51" s="297" t="str">
        <f>IF(E51=0,"",VLOOKUP(E51,[10]liste!AM:AN,2,FALSE))</f>
        <v>Jugé Léana</v>
      </c>
      <c r="C51" s="762">
        <f>IF(E51=0,"",VLOOKUP(B51,[10]liste!AN:AP,3,FALSE))</f>
        <v>5</v>
      </c>
      <c r="D51" s="691">
        <f>IF(CW51="","",CY51)</f>
        <v>5</v>
      </c>
      <c r="E51" s="692">
        <f>LARGE([10]liste!AM:AM,36)</f>
        <v>536.03399999999999</v>
      </c>
      <c r="F51" s="693">
        <v>536</v>
      </c>
      <c r="G51" s="693">
        <v>540</v>
      </c>
      <c r="H51" s="693">
        <v>535</v>
      </c>
      <c r="I51" s="692">
        <v>525</v>
      </c>
      <c r="J51" s="693">
        <v>525</v>
      </c>
      <c r="K51" s="693">
        <v>525</v>
      </c>
      <c r="L51" s="693">
        <v>522</v>
      </c>
      <c r="M51" s="692">
        <v>506</v>
      </c>
      <c r="N51" s="692">
        <v>506</v>
      </c>
      <c r="O51" s="694"/>
      <c r="P51" s="695">
        <f t="shared" ca="1" si="11"/>
        <v>0</v>
      </c>
      <c r="Q51" s="170">
        <f t="shared" si="12"/>
        <v>-30.033999999999992</v>
      </c>
      <c r="R51" s="696">
        <f ca="1">IF(U51&lt;MAX(U$16:U$81)/6.2,"NS",IF(B51="",0,VLOOKUP(B51,[10]résultats!AX:DH,63,FALSE)))</f>
        <v>7.1472729486052364E-2</v>
      </c>
      <c r="S51" s="763" t="str">
        <f>B51</f>
        <v>Jugé Léana</v>
      </c>
      <c r="T51" s="171">
        <f ca="1">DQ51</f>
        <v>2</v>
      </c>
      <c r="U51" s="172">
        <f ca="1">DR51</f>
        <v>28</v>
      </c>
      <c r="V51" s="770">
        <f ca="1">IF(B51="",0,HLOOKUP(B51&amp;"a",[11]Feuil1!$A$27:$FX$48,20,FALSE)+RAND()*0.0001)</f>
        <v>1.0000211854003958</v>
      </c>
      <c r="W51" s="771">
        <f ca="1">IF(B51="",0,HLOOKUP(B51&amp;"a",[11]Feuil1!$A$27:$FX$48,21,FALSE))+RAND()*0.0001</f>
        <v>1.0000810052046263</v>
      </c>
      <c r="X51" s="772">
        <f>IF(AK51=0,"",ROUND(BU51*100+50,0))</f>
        <v>762</v>
      </c>
      <c r="Y51" s="701">
        <f t="shared" si="15"/>
        <v>540</v>
      </c>
      <c r="Z51" s="597">
        <v>1</v>
      </c>
      <c r="AA51" s="177" t="str">
        <f ca="1">'[10] joueur de l''année'!AA32</f>
        <v>Zaragoza Quentin</v>
      </c>
      <c r="AB51" s="730" t="str">
        <f>""</f>
        <v/>
      </c>
      <c r="AC51" s="730" t="str">
        <f>""</f>
        <v/>
      </c>
      <c r="AD51" s="782" t="s">
        <v>296</v>
      </c>
      <c r="AE51" s="783">
        <f>IF(COUNT(A16:A67)=0,"",SUM(DE16:DE65)/COUNT(A16:A67))</f>
        <v>870.95769285714255</v>
      </c>
      <c r="AF51" s="784">
        <f>ROUNDDOWN(AE51/100,0)</f>
        <v>8</v>
      </c>
      <c r="AH51" s="785">
        <v>1000.7780031249998</v>
      </c>
      <c r="AI51" s="786">
        <f>ROUNDDOWN(AH51/100,0)</f>
        <v>10</v>
      </c>
      <c r="AJ51" s="677"/>
      <c r="AK51" s="677">
        <f t="shared" si="28"/>
        <v>25</v>
      </c>
      <c r="AL51" s="705" t="str">
        <f t="shared" si="16"/>
        <v>Jugé Léana</v>
      </c>
      <c r="AM51" s="706">
        <f>IF(OR(HLOOKUP($AL51&amp;"a",[11]Feuil1!$A$27:$EP$48,3,FALSE)=FALSE,HLOOKUP($AL51&amp;"a",[11]Feuil1!$A$27:$EP$48,3,FALSE)=""),0,HLOOKUP($AL51&amp;"a",[11]Feuil1!$A$27:$EP$48,3,FALSE))</f>
        <v>1</v>
      </c>
      <c r="AN51" s="706">
        <f>IF(HLOOKUP($AL51&amp;"aa",[11]Feuil1!$A$27:$EP$48,3,FALSE)=FALSE,0,HLOOKUP($AL51&amp;"aa",[11]Feuil1!$A$27:$EP$48,3,FALSE))</f>
        <v>4</v>
      </c>
      <c r="AO51" s="706">
        <f>IF(OR(HLOOKUP($AL51&amp;"a",[11]Feuil1!$A$27:$EP$48,4,FALSE)=FALSE,HLOOKUP($AL51&amp;"a",[11]Feuil1!$A$27:$EP$48,4,FALSE)=""),0,HLOOKUP($AL51&amp;"a",[11]Feuil1!$A$27:$EP$48,4,FALSE))</f>
        <v>1</v>
      </c>
      <c r="AP51" s="706">
        <f>IF(HLOOKUP($AL51&amp;"aa",[11]Feuil1!$A$27:$EP$48,4,FALSE)=FALSE,0,HLOOKUP($AL51&amp;"aa",[11]Feuil1!$A$27:$EP$48,4,FALSE))</f>
        <v>4</v>
      </c>
      <c r="AQ51" s="706">
        <f>IF(OR(HLOOKUP($AL51&amp;"a",[11]Feuil1!$A$27:$EP$48,5,FALSE)=FALSE,HLOOKUP($AL51&amp;"a",[11]Feuil1!$A$27:$EP$48,5,FALSE)=""),0,HLOOKUP($AL51&amp;"a",[11]Feuil1!$A$27:$EP$48,5,FALSE))</f>
        <v>0</v>
      </c>
      <c r="AR51" s="706">
        <f>IF(HLOOKUP($AL51&amp;"aa",[11]Feuil1!$A$27:$EP$48,5,FALSE)=FALSE,0,HLOOKUP($AL51&amp;"aa",[11]Feuil1!$A$27:$EP$48,5,FALSE))</f>
        <v>5</v>
      </c>
      <c r="AS51" s="706">
        <f>IF(OR(HLOOKUP($AL51&amp;"a",[11]Feuil1!$A$27:$EP$48,6,FALSE)=FALSE,HLOOKUP($AL51&amp;"a",[11]Feuil1!$A$27:$EP$48,6,FALSE)=""),0,HLOOKUP($AL51&amp;"a",[11]Feuil1!$A$27:$EP$48,6,FALSE))</f>
        <v>0</v>
      </c>
      <c r="AT51" s="706">
        <f>IF(HLOOKUP($AL51&amp;"aa",[11]Feuil1!$A$27:$EP$48,6,FALSE)=FALSE,0,HLOOKUP($AL51&amp;"aa",[11]Feuil1!$A$27:$EP$48,6,FALSE))</f>
        <v>4</v>
      </c>
      <c r="AU51" s="706">
        <f>IF(OR(HLOOKUP($AL51&amp;"a",[11]Feuil1!$A$27:$EP$48,7,FALSE)=FALSE,HLOOKUP($AL51&amp;"a",[11]Feuil1!$A$27:$EP$48,7,FALSE)=""),0,HLOOKUP($AL51&amp;"a",[11]Feuil1!$A$27:$EP$48,7,FALSE))</f>
        <v>0</v>
      </c>
      <c r="AV51" s="706">
        <f>IF(HLOOKUP($AL51&amp;"aa",[11]Feuil1!$A$27:$EP$48,7,FALSE)=FALSE,0,HLOOKUP($AL51&amp;"aa",[11]Feuil1!$A$27:$EP$48,7,FALSE))</f>
        <v>4</v>
      </c>
      <c r="AW51" s="706">
        <f>IF(OR(HLOOKUP($AL51&amp;"a",[11]Feuil1!$A$27:$EP$48,8,FALSE)=FALSE,HLOOKUP($AL51&amp;"a",[11]Feuil1!$A$27:$EP$48,8,FALSE)=""),0,HLOOKUP($AL51&amp;"a",[11]Feuil1!$A$27:$EP$48,8,FALSE))</f>
        <v>0</v>
      </c>
      <c r="AX51" s="706">
        <f>IF(HLOOKUP($AL51&amp;"aa",[11]Feuil1!$A$27:$EP$48,8,FALSE)=FALSE,0,HLOOKUP($AL51&amp;"aa",[11]Feuil1!$A$27:$EP$48,8,FALSE))</f>
        <v>2</v>
      </c>
      <c r="AY51" s="706">
        <f>IF(OR(HLOOKUP($AL51&amp;"a",[11]Feuil1!$A$27:$EP$48,9,FALSE)=FALSE,HLOOKUP($AL51&amp;"a",[11]Feuil1!$A$27:$EP$48,9,FALSE)=""),0,HLOOKUP($AL51&amp;"a",[11]Feuil1!$A$27:$EP$48,9,FALSE))</f>
        <v>0</v>
      </c>
      <c r="AZ51" s="706">
        <f>IF(HLOOKUP($AL51&amp;"aa",[11]Feuil1!$A$27:$EP$48,9,FALSE)=FALSE,0,HLOOKUP($AL51&amp;"aa",[11]Feuil1!$A$27:$EP$48,9,FALSE))</f>
        <v>0</v>
      </c>
      <c r="BA51" s="706">
        <f>IF(OR(HLOOKUP($AL51&amp;"a",[11]Feuil1!$A$27:$EP$48,10,FALSE)=FALSE,HLOOKUP($AL51&amp;"a",[11]Feuil1!$A$27:$EP$48,10,FALSE)=""),0,HLOOKUP($AL51&amp;"a",[11]Feuil1!$A$27:$EP$48,10,FALSE))</f>
        <v>0</v>
      </c>
      <c r="BB51" s="706">
        <f>IF(HLOOKUP($AL51&amp;"aa",[11]Feuil1!$A$27:$EP$48,10,FALSE)=FALSE,0,HLOOKUP($AL51&amp;"aa",[11]Feuil1!$A$27:$EP$48,10,FALSE))</f>
        <v>0</v>
      </c>
      <c r="BC51" s="706">
        <f>IF(OR(HLOOKUP($AL51&amp;"a",[11]Feuil1!$A$27:$EP$48,11,FALSE)=FALSE,HLOOKUP($AL51&amp;"a",[11]Feuil1!$A$27:$EP$48,11,FALSE)=""),0,HLOOKUP($AL51&amp;"a",[11]Feuil1!$A$27:$EP$48,11,FALSE))</f>
        <v>0</v>
      </c>
      <c r="BD51" s="706">
        <f>IF(HLOOKUP($AL51&amp;"aa",[11]Feuil1!$A$27:$EP$48,11,FALSE)=FALSE,0,HLOOKUP($AL51&amp;"aa",[11]Feuil1!$A$27:$EP$48,11,FALSE))</f>
        <v>0</v>
      </c>
      <c r="BE51" s="706">
        <f>IF(OR(HLOOKUP($AL51&amp;"a",[11]Feuil1!$A$27:$EP$48,12,FALSE)=FALSE,HLOOKUP($AL51&amp;"a",[11]Feuil1!$A$27:$EP$48,12,FALSE)=""),0,HLOOKUP($AL51&amp;"a",[11]Feuil1!$A$27:$EP$48,12,FALSE))</f>
        <v>0</v>
      </c>
      <c r="BF51" s="706">
        <f>IF(HLOOKUP($AL51&amp;"aa",[11]Feuil1!$A$27:$EP$48,12,FALSE)=FALSE,0,HLOOKUP($AL51&amp;"aa",[11]Feuil1!$A$27:$EP$48,12,FALSE))</f>
        <v>0</v>
      </c>
      <c r="BG51" s="706">
        <f>IF(OR(HLOOKUP($AL51&amp;"a",[11]Feuil1!$A$27:$EP$48,13,FALSE)=FALSE,HLOOKUP($AL51&amp;"a",[11]Feuil1!$A$27:$EP$48,13,FALSE)=""),0,HLOOKUP($AL51&amp;"a",[11]Feuil1!$A$27:$EP$48,13,FALSE))</f>
        <v>0</v>
      </c>
      <c r="BH51" s="706">
        <f>IF(HLOOKUP($AL51&amp;"aa",[11]Feuil1!$A$27:$EP$48,13,FALSE)=FALSE,0,HLOOKUP($AL51&amp;"aa",[11]Feuil1!$A$27:$EP$48,13,FALSE))</f>
        <v>0</v>
      </c>
      <c r="BI51" s="706">
        <f>IF(OR(HLOOKUP($AL51&amp;"a",[11]Feuil1!$A$27:$EP$48,14,FALSE)=FALSE,HLOOKUP($AL51&amp;"a",[11]Feuil1!$A$27:$EP$48,14,FALSE)=""),0,HLOOKUP($AL51&amp;"a",[11]Feuil1!$A$27:$EP$48,14,FALSE))</f>
        <v>0</v>
      </c>
      <c r="BJ51" s="706">
        <f>IF(HLOOKUP($AL51&amp;"aa",[11]Feuil1!$A$27:$EP$48,14,FALSE)=FALSE,0,HLOOKUP($AL51&amp;"aa",[11]Feuil1!$A$27:$EP$48,14,FALSE))</f>
        <v>0</v>
      </c>
      <c r="BK51" s="706">
        <f>IF(OR(HLOOKUP($AL51&amp;"a",[11]Feuil1!$A$27:$EP$48,15,FALSE)=FALSE,HLOOKUP($AL51&amp;"a",[11]Feuil1!$A$27:$EP$48,15,FALSE)=""),0,HLOOKUP($AL51&amp;"a",[11]Feuil1!$A$27:$EP$48,15,FALSE))</f>
        <v>0</v>
      </c>
      <c r="BL51" s="706">
        <f>IF(HLOOKUP($AL51&amp;"aa",[11]Feuil1!$A$27:$EP$48,15,FALSE)=FALSE,0,HLOOKUP($AL51&amp;"aa",[11]Feuil1!$A$27:$EP$48,15,FALSE))</f>
        <v>0</v>
      </c>
      <c r="BM51" s="706">
        <f>IF(OR(HLOOKUP($AL51&amp;"a",[11]Feuil1!$A$27:$EP$48,16,FALSE)=FALSE,HLOOKUP($AL51&amp;"a",[11]Feuil1!$A$27:$EP$48,16,FALSE)=""),0,HLOOKUP($AL51&amp;"a",[11]Feuil1!$A$27:$EP$48,16,FALSE))</f>
        <v>0</v>
      </c>
      <c r="BN51" s="706">
        <f>IF(HLOOKUP($AL51&amp;"aa",[11]Feuil1!$A$27:$EP$48,16,FALSE)=FALSE,0,HLOOKUP($AL51&amp;"aa",[11]Feuil1!$A$27:$EP$48,16,FALSE))</f>
        <v>0</v>
      </c>
      <c r="BO51" s="706">
        <f>IF(OR(HLOOKUP($AL51&amp;"a",[11]Feuil1!$A$27:$EP$48,17,FALSE)=FALSE,HLOOKUP($AL51&amp;"a",[11]Feuil1!$A$27:$EP$48,17,FALSE)=""),0,HLOOKUP($AL51&amp;"a",[11]Feuil1!$A$27:$EP$48,17,FALSE))</f>
        <v>0</v>
      </c>
      <c r="BP51" s="706">
        <f>IF(HLOOKUP($AL51&amp;"aa",[11]Feuil1!$A$27:$EP$48,17,FALSE)=FALSE,0,HLOOKUP($AL51&amp;"aa",[11]Feuil1!$A$27:$EP$48,17,FALSE))</f>
        <v>0</v>
      </c>
      <c r="BQ51" s="706">
        <f>IF(OR(HLOOKUP($AL51&amp;"a",[11]Feuil1!$A$27:$EP$48,18,FALSE)=FALSE,HLOOKUP($AL51&amp;"a",[11]Feuil1!$A$27:$EP$48,18,FALSE)=""),0,HLOOKUP($AL51&amp;"a",[11]Feuil1!$A$27:$EP$48,18,FALSE))</f>
        <v>0</v>
      </c>
      <c r="BR51" s="706">
        <f>IF(HLOOKUP($AL51&amp;"aa",[11]Feuil1!$A$27:$EP$48,18,FALSE)=FALSE,0,HLOOKUP($AL51&amp;"aa",[11]Feuil1!$A$27:$EP$48,18,FALSE))</f>
        <v>0</v>
      </c>
      <c r="BS51" s="707">
        <f t="shared" si="29"/>
        <v>5.5</v>
      </c>
      <c r="BT51" s="707">
        <f t="shared" si="30"/>
        <v>7.2608695652173916</v>
      </c>
      <c r="BU51" s="707">
        <f t="shared" si="31"/>
        <v>7.12</v>
      </c>
      <c r="BV51" s="561"/>
      <c r="BW51" s="561"/>
      <c r="BX51" t="str">
        <f t="shared" ref="BX51:BX56" si="46">BZ51&amp;CA51</f>
        <v/>
      </c>
      <c r="BY51"/>
      <c r="BZ51"/>
      <c r="CA51"/>
      <c r="CB51"/>
      <c r="CC51"/>
      <c r="CD51"/>
      <c r="CE51" s="591" t="e">
        <f>VLOOKUP(B51,$BX$16:$CD$101,6,FALSE)</f>
        <v>#N/A</v>
      </c>
      <c r="CF51" s="787"/>
      <c r="CG51" s="787"/>
      <c r="CH51" s="787"/>
      <c r="CI51" s="788"/>
      <c r="CK51" s="715">
        <f t="shared" si="36"/>
        <v>4</v>
      </c>
      <c r="CL51" s="591">
        <f t="shared" si="17"/>
        <v>0</v>
      </c>
      <c r="CM51" s="716">
        <f t="shared" si="45"/>
        <v>-3.3999999999991815E-2</v>
      </c>
      <c r="CN51" s="716">
        <f t="shared" si="45"/>
        <v>4</v>
      </c>
      <c r="CO51" s="716">
        <f t="shared" si="45"/>
        <v>-5</v>
      </c>
      <c r="CP51" s="716">
        <f t="shared" si="45"/>
        <v>-10</v>
      </c>
      <c r="CQ51" s="716">
        <f t="shared" si="45"/>
        <v>0</v>
      </c>
      <c r="CR51" s="716">
        <f t="shared" si="45"/>
        <v>0</v>
      </c>
      <c r="CS51" s="716">
        <f t="shared" si="45"/>
        <v>-3</v>
      </c>
      <c r="CT51" s="716">
        <f t="shared" si="45"/>
        <v>-16</v>
      </c>
      <c r="CU51" s="716">
        <f t="shared" si="45"/>
        <v>0</v>
      </c>
      <c r="CV51" s="717" t="str">
        <f t="shared" si="37"/>
        <v>faux</v>
      </c>
      <c r="CW51" s="718">
        <f>IF(E51=0,"",VLOOKUP(B51,[10]liste!AU:BD,10,FALSE))</f>
        <v>1</v>
      </c>
      <c r="CX51" s="719">
        <f t="shared" si="19"/>
        <v>506</v>
      </c>
      <c r="CY51" s="720">
        <f t="shared" si="38"/>
        <v>5</v>
      </c>
      <c r="CZ51" s="719"/>
      <c r="DA51" s="719"/>
      <c r="DB51" s="719"/>
      <c r="DC51" s="722" t="str">
        <f t="shared" ca="1" si="20"/>
        <v/>
      </c>
      <c r="DE51" s="723" t="str">
        <f t="shared" si="21"/>
        <v/>
      </c>
      <c r="DF51" s="723" t="str">
        <f t="shared" si="22"/>
        <v/>
      </c>
      <c r="DG51" s="697" t="str">
        <f t="shared" si="23"/>
        <v>Jugé Léana</v>
      </c>
      <c r="DH51" s="724">
        <f t="shared" si="24"/>
        <v>1</v>
      </c>
      <c r="DI51" s="724">
        <f t="shared" si="39"/>
        <v>1</v>
      </c>
      <c r="DJ51" s="719">
        <f t="shared" si="25"/>
        <v>525</v>
      </c>
      <c r="DK51" s="719">
        <f t="shared" si="26"/>
        <v>536.03399999999999</v>
      </c>
      <c r="DL51" s="719">
        <f t="shared" si="40"/>
        <v>506</v>
      </c>
      <c r="DM51" s="719"/>
      <c r="DN51" s="719"/>
      <c r="DO51" s="719"/>
      <c r="DP51" s="720">
        <f t="shared" si="41"/>
        <v>5</v>
      </c>
      <c r="DQ51" s="591">
        <f ca="1">VLOOKUP(DG51,[10]résultats!$A$2:$DE$70,109,FALSE)</f>
        <v>2</v>
      </c>
      <c r="DR51" s="591">
        <f ca="1">VLOOKUP(DG51,[10]résultats!$A$2:$DG$70,111,FALSE)</f>
        <v>28</v>
      </c>
      <c r="DT51" s="591">
        <f t="shared" si="42"/>
        <v>37</v>
      </c>
      <c r="DU51" s="591">
        <f t="shared" si="43"/>
        <v>37</v>
      </c>
    </row>
    <row r="52" spans="1:125" s="554" customFormat="1" ht="23.1" customHeight="1">
      <c r="A52" s="308">
        <f t="shared" si="9"/>
        <v>39</v>
      </c>
      <c r="B52" s="297" t="str">
        <f>IF(E52=0,"",VLOOKUP(E52,[10]liste!AM:AN,2,FALSE))</f>
        <v>Simon Titouan</v>
      </c>
      <c r="C52" s="762">
        <f>IF(E52=0,"",VLOOKUP(B52,[10]liste!AN:AP,3,FALSE))</f>
        <v>5</v>
      </c>
      <c r="D52" s="691" t="str">
        <f t="shared" si="10"/>
        <v>NC</v>
      </c>
      <c r="E52" s="692">
        <f>LARGE([10]liste!AM:AM,37)</f>
        <v>500.089</v>
      </c>
      <c r="F52" s="693">
        <v>500</v>
      </c>
      <c r="G52" s="693">
        <v>489</v>
      </c>
      <c r="H52" s="693">
        <v>492</v>
      </c>
      <c r="I52" s="692">
        <v>500</v>
      </c>
      <c r="J52" s="693">
        <v>514</v>
      </c>
      <c r="K52" s="693">
        <v>503</v>
      </c>
      <c r="L52" s="693">
        <v>483</v>
      </c>
      <c r="M52" s="692">
        <v>483</v>
      </c>
      <c r="N52" s="692">
        <v>483</v>
      </c>
      <c r="O52" s="694"/>
      <c r="P52" s="695">
        <f t="shared" ca="1" si="11"/>
        <v>0</v>
      </c>
      <c r="Q52" s="170">
        <f t="shared" si="12"/>
        <v>-17.088999999999999</v>
      </c>
      <c r="R52" s="696">
        <f ca="1">IF(U52&lt;MAX(U$16:U$81)/6.2,"NS",IF(B52="",0,VLOOKUP(B52,[10]résultats!AX:DH,63,FALSE)))</f>
        <v>0.27276474219874514</v>
      </c>
      <c r="S52" s="763" t="str">
        <f t="shared" si="13"/>
        <v>Simon Titouan</v>
      </c>
      <c r="T52" s="171">
        <f t="shared" ca="1" si="14"/>
        <v>9</v>
      </c>
      <c r="U52" s="172">
        <f t="shared" ca="1" si="14"/>
        <v>33</v>
      </c>
      <c r="V52" s="292">
        <f ca="1">IF(B52="",0,HLOOKUP(B52&amp;"a",[11]Feuil1!$A$27:$FX$48,20,FALSE)+RAND()*0.0001)</f>
        <v>3.3844523305969219E-5</v>
      </c>
      <c r="W52" s="293">
        <f ca="1">IF(B52="",0,HLOOKUP(B52&amp;"a",[11]Feuil1!$A$27:$FX$48,21,FALSE))+RAND()*0.0001</f>
        <v>1.8061390926806319E-5</v>
      </c>
      <c r="X52" s="725">
        <f t="shared" si="27"/>
        <v>568</v>
      </c>
      <c r="Y52" s="701">
        <f t="shared" si="15"/>
        <v>514</v>
      </c>
      <c r="Z52" s="604">
        <v>2</v>
      </c>
      <c r="AA52" s="177" t="str">
        <f ca="1">'[10] joueur de l''année'!AA33</f>
        <v>Sail Rémy</v>
      </c>
      <c r="AB52" s="730" t="str">
        <f>""</f>
        <v/>
      </c>
      <c r="AC52" s="730" t="str">
        <f>""</f>
        <v/>
      </c>
      <c r="AD52" s="782" t="s">
        <v>297</v>
      </c>
      <c r="AE52" s="783">
        <v>583.53427499999998</v>
      </c>
      <c r="AF52" s="784">
        <f>ROUNDDOWN(AE52/100,0)</f>
        <v>5</v>
      </c>
      <c r="AH52" s="785">
        <v>583.53427499999998</v>
      </c>
      <c r="AI52" s="786">
        <f>ROUNDDOWN(AH52/100,0)</f>
        <v>5</v>
      </c>
      <c r="AJ52" s="677"/>
      <c r="AK52" s="677">
        <f t="shared" si="28"/>
        <v>33</v>
      </c>
      <c r="AL52" s="705" t="str">
        <f t="shared" si="16"/>
        <v>Simon Titouan</v>
      </c>
      <c r="AM52" s="706">
        <f>IF(OR(HLOOKUP($AL52&amp;"a",[11]Feuil1!$A$27:$EP$48,3,FALSE)=FALSE,HLOOKUP($AL52&amp;"a",[11]Feuil1!$A$27:$EP$48,3,FALSE)=""),0,HLOOKUP($AL52&amp;"a",[11]Feuil1!$A$27:$EP$48,3,FALSE))</f>
        <v>9</v>
      </c>
      <c r="AN52" s="706">
        <f>IF(HLOOKUP($AL52&amp;"aa",[11]Feuil1!$A$27:$EP$48,3,FALSE)=FALSE,0,HLOOKUP($AL52&amp;"aa",[11]Feuil1!$A$27:$EP$48,3,FALSE))</f>
        <v>20</v>
      </c>
      <c r="AO52" s="706">
        <f>IF(OR(HLOOKUP($AL52&amp;"a",[11]Feuil1!$A$27:$EP$48,4,FALSE)=FALSE,HLOOKUP($AL52&amp;"a",[11]Feuil1!$A$27:$EP$48,4,FALSE)=""),0,HLOOKUP($AL52&amp;"a",[11]Feuil1!$A$27:$EP$48,4,FALSE))</f>
        <v>0</v>
      </c>
      <c r="AP52" s="706">
        <f>IF(HLOOKUP($AL52&amp;"aa",[11]Feuil1!$A$27:$EP$48,4,FALSE)=FALSE,0,HLOOKUP($AL52&amp;"aa",[11]Feuil1!$A$27:$EP$48,4,FALSE))</f>
        <v>2</v>
      </c>
      <c r="AQ52" s="706">
        <f>IF(OR(HLOOKUP($AL52&amp;"a",[11]Feuil1!$A$27:$EP$48,5,FALSE)=FALSE,HLOOKUP($AL52&amp;"a",[11]Feuil1!$A$27:$EP$48,5,FALSE)=""),0,HLOOKUP($AL52&amp;"a",[11]Feuil1!$A$27:$EP$48,5,FALSE))</f>
        <v>0</v>
      </c>
      <c r="AR52" s="706">
        <f>IF(HLOOKUP($AL52&amp;"aa",[11]Feuil1!$A$27:$EP$48,5,FALSE)=FALSE,0,HLOOKUP($AL52&amp;"aa",[11]Feuil1!$A$27:$EP$48,5,FALSE))</f>
        <v>2</v>
      </c>
      <c r="AS52" s="706">
        <f>IF(OR(HLOOKUP($AL52&amp;"a",[11]Feuil1!$A$27:$EP$48,6,FALSE)=FALSE,HLOOKUP($AL52&amp;"a",[11]Feuil1!$A$27:$EP$48,6,FALSE)=""),0,HLOOKUP($AL52&amp;"a",[11]Feuil1!$A$27:$EP$48,6,FALSE))</f>
        <v>0</v>
      </c>
      <c r="AT52" s="706">
        <f>IF(HLOOKUP($AL52&amp;"aa",[11]Feuil1!$A$27:$EP$48,6,FALSE)=FALSE,0,HLOOKUP($AL52&amp;"aa",[11]Feuil1!$A$27:$EP$48,6,FALSE))</f>
        <v>0</v>
      </c>
      <c r="AU52" s="706">
        <f>IF(OR(HLOOKUP($AL52&amp;"a",[11]Feuil1!$A$27:$EP$48,7,FALSE)=FALSE,HLOOKUP($AL52&amp;"a",[11]Feuil1!$A$27:$EP$48,7,FALSE)=""),0,HLOOKUP($AL52&amp;"a",[11]Feuil1!$A$27:$EP$48,7,FALSE))</f>
        <v>0</v>
      </c>
      <c r="AV52" s="706">
        <f>IF(HLOOKUP($AL52&amp;"aa",[11]Feuil1!$A$27:$EP$48,7,FALSE)=FALSE,0,HLOOKUP($AL52&amp;"aa",[11]Feuil1!$A$27:$EP$48,7,FALSE))</f>
        <v>0</v>
      </c>
      <c r="AW52" s="706">
        <f>IF(OR(HLOOKUP($AL52&amp;"a",[11]Feuil1!$A$27:$EP$48,8,FALSE)=FALSE,HLOOKUP($AL52&amp;"a",[11]Feuil1!$A$27:$EP$48,8,FALSE)=""),0,HLOOKUP($AL52&amp;"a",[11]Feuil1!$A$27:$EP$48,8,FALSE))</f>
        <v>0</v>
      </c>
      <c r="AX52" s="706">
        <f>IF(HLOOKUP($AL52&amp;"aa",[11]Feuil1!$A$27:$EP$48,8,FALSE)=FALSE,0,HLOOKUP($AL52&amp;"aa",[11]Feuil1!$A$27:$EP$48,8,FALSE))</f>
        <v>0</v>
      </c>
      <c r="AY52" s="706">
        <f>IF(OR(HLOOKUP($AL52&amp;"a",[11]Feuil1!$A$27:$EP$48,9,FALSE)=FALSE,HLOOKUP($AL52&amp;"a",[11]Feuil1!$A$27:$EP$48,9,FALSE)=""),0,HLOOKUP($AL52&amp;"a",[11]Feuil1!$A$27:$EP$48,9,FALSE))</f>
        <v>0</v>
      </c>
      <c r="AZ52" s="706">
        <f>IF(HLOOKUP($AL52&amp;"aa",[11]Feuil1!$A$27:$EP$48,9,FALSE)=FALSE,0,HLOOKUP($AL52&amp;"aa",[11]Feuil1!$A$27:$EP$48,9,FALSE))</f>
        <v>0</v>
      </c>
      <c r="BA52" s="706">
        <f>IF(OR(HLOOKUP($AL52&amp;"a",[11]Feuil1!$A$27:$EP$48,10,FALSE)=FALSE,HLOOKUP($AL52&amp;"a",[11]Feuil1!$A$27:$EP$48,10,FALSE)=""),0,HLOOKUP($AL52&amp;"a",[11]Feuil1!$A$27:$EP$48,10,FALSE))</f>
        <v>0</v>
      </c>
      <c r="BB52" s="706">
        <f>IF(HLOOKUP($AL52&amp;"aa",[11]Feuil1!$A$27:$EP$48,10,FALSE)=FALSE,0,HLOOKUP($AL52&amp;"aa",[11]Feuil1!$A$27:$EP$48,10,FALSE))</f>
        <v>0</v>
      </c>
      <c r="BC52" s="706">
        <f>IF(OR(HLOOKUP($AL52&amp;"a",[11]Feuil1!$A$27:$EP$48,11,FALSE)=FALSE,HLOOKUP($AL52&amp;"a",[11]Feuil1!$A$27:$EP$48,11,FALSE)=""),0,HLOOKUP($AL52&amp;"a",[11]Feuil1!$A$27:$EP$48,11,FALSE))</f>
        <v>0</v>
      </c>
      <c r="BD52" s="706">
        <f>IF(HLOOKUP($AL52&amp;"aa",[11]Feuil1!$A$27:$EP$48,11,FALSE)=FALSE,0,HLOOKUP($AL52&amp;"aa",[11]Feuil1!$A$27:$EP$48,11,FALSE))</f>
        <v>0</v>
      </c>
      <c r="BE52" s="706">
        <f>IF(OR(HLOOKUP($AL52&amp;"a",[11]Feuil1!$A$27:$EP$48,12,FALSE)=FALSE,HLOOKUP($AL52&amp;"a",[11]Feuil1!$A$27:$EP$48,12,FALSE)=""),0,HLOOKUP($AL52&amp;"a",[11]Feuil1!$A$27:$EP$48,12,FALSE))</f>
        <v>0</v>
      </c>
      <c r="BF52" s="706">
        <f>IF(HLOOKUP($AL52&amp;"aa",[11]Feuil1!$A$27:$EP$48,12,FALSE)=FALSE,0,HLOOKUP($AL52&amp;"aa",[11]Feuil1!$A$27:$EP$48,12,FALSE))</f>
        <v>0</v>
      </c>
      <c r="BG52" s="706">
        <f>IF(OR(HLOOKUP($AL52&amp;"a",[11]Feuil1!$A$27:$EP$48,13,FALSE)=FALSE,HLOOKUP($AL52&amp;"a",[11]Feuil1!$A$27:$EP$48,13,FALSE)=""),0,HLOOKUP($AL52&amp;"a",[11]Feuil1!$A$27:$EP$48,13,FALSE))</f>
        <v>0</v>
      </c>
      <c r="BH52" s="706">
        <f>IF(HLOOKUP($AL52&amp;"aa",[11]Feuil1!$A$27:$EP$48,13,FALSE)=FALSE,0,HLOOKUP($AL52&amp;"aa",[11]Feuil1!$A$27:$EP$48,13,FALSE))</f>
        <v>0</v>
      </c>
      <c r="BI52" s="706">
        <f>IF(OR(HLOOKUP($AL52&amp;"a",[11]Feuil1!$A$27:$EP$48,14,FALSE)=FALSE,HLOOKUP($AL52&amp;"a",[11]Feuil1!$A$27:$EP$48,14,FALSE)=""),0,HLOOKUP($AL52&amp;"a",[11]Feuil1!$A$27:$EP$48,14,FALSE))</f>
        <v>0</v>
      </c>
      <c r="BJ52" s="706">
        <f>IF(HLOOKUP($AL52&amp;"aa",[11]Feuil1!$A$27:$EP$48,14,FALSE)=FALSE,0,HLOOKUP($AL52&amp;"aa",[11]Feuil1!$A$27:$EP$48,14,FALSE))</f>
        <v>0</v>
      </c>
      <c r="BK52" s="706">
        <f>IF(OR(HLOOKUP($AL52&amp;"a",[11]Feuil1!$A$27:$EP$48,15,FALSE)=FALSE,HLOOKUP($AL52&amp;"a",[11]Feuil1!$A$27:$EP$48,15,FALSE)=""),0,HLOOKUP($AL52&amp;"a",[11]Feuil1!$A$27:$EP$48,15,FALSE))</f>
        <v>0</v>
      </c>
      <c r="BL52" s="706">
        <f>IF(HLOOKUP($AL52&amp;"aa",[11]Feuil1!$A$27:$EP$48,15,FALSE)=FALSE,0,HLOOKUP($AL52&amp;"aa",[11]Feuil1!$A$27:$EP$48,15,FALSE))</f>
        <v>0</v>
      </c>
      <c r="BM52" s="706">
        <f>IF(OR(HLOOKUP($AL52&amp;"a",[11]Feuil1!$A$27:$EP$48,16,FALSE)=FALSE,HLOOKUP($AL52&amp;"a",[11]Feuil1!$A$27:$EP$48,16,FALSE)=""),0,HLOOKUP($AL52&amp;"a",[11]Feuil1!$A$27:$EP$48,16,FALSE))</f>
        <v>0</v>
      </c>
      <c r="BN52" s="706">
        <f>IF(HLOOKUP($AL52&amp;"aa",[11]Feuil1!$A$27:$EP$48,16,FALSE)=FALSE,0,HLOOKUP($AL52&amp;"aa",[11]Feuil1!$A$27:$EP$48,16,FALSE))</f>
        <v>0</v>
      </c>
      <c r="BO52" s="706">
        <f>IF(OR(HLOOKUP($AL52&amp;"a",[11]Feuil1!$A$27:$EP$48,17,FALSE)=FALSE,HLOOKUP($AL52&amp;"a",[11]Feuil1!$A$27:$EP$48,17,FALSE)=""),0,HLOOKUP($AL52&amp;"a",[11]Feuil1!$A$27:$EP$48,17,FALSE))</f>
        <v>0</v>
      </c>
      <c r="BP52" s="706">
        <f>IF(HLOOKUP($AL52&amp;"aa",[11]Feuil1!$A$27:$EP$48,17,FALSE)=FALSE,0,HLOOKUP($AL52&amp;"aa",[11]Feuil1!$A$27:$EP$48,17,FALSE))</f>
        <v>0</v>
      </c>
      <c r="BQ52" s="706">
        <f>IF(OR(HLOOKUP($AL52&amp;"a",[11]Feuil1!$A$27:$EP$48,18,FALSE)=FALSE,HLOOKUP($AL52&amp;"a",[11]Feuil1!$A$27:$EP$48,18,FALSE)=""),0,HLOOKUP($AL52&amp;"a",[11]Feuil1!$A$27:$EP$48,18,FALSE))</f>
        <v>0</v>
      </c>
      <c r="BR52" s="706">
        <f>IF(HLOOKUP($AL52&amp;"aa",[11]Feuil1!$A$27:$EP$48,18,FALSE)=FALSE,0,HLOOKUP($AL52&amp;"aa",[11]Feuil1!$A$27:$EP$48,18,FALSE))</f>
        <v>0</v>
      </c>
      <c r="BS52" s="707">
        <f t="shared" si="29"/>
        <v>5</v>
      </c>
      <c r="BT52" s="707">
        <f t="shared" si="30"/>
        <v>5.25</v>
      </c>
      <c r="BU52" s="707">
        <f t="shared" si="31"/>
        <v>5.1818181818181817</v>
      </c>
      <c r="BV52" s="561"/>
      <c r="BW52" s="561"/>
      <c r="BX52" t="str">
        <f t="shared" si="46"/>
        <v/>
      </c>
      <c r="BY52"/>
      <c r="BZ52"/>
      <c r="CA52"/>
      <c r="CB52"/>
      <c r="CC52"/>
      <c r="CD52"/>
      <c r="CE52" s="787"/>
      <c r="CF52" s="787" t="str">
        <f>""</f>
        <v/>
      </c>
      <c r="CG52" s="787" t="str">
        <f>""</f>
        <v/>
      </c>
      <c r="CH52" s="787" t="str">
        <f>""</f>
        <v/>
      </c>
      <c r="CI52" s="788"/>
      <c r="CK52" s="715">
        <f t="shared" si="36"/>
        <v>14</v>
      </c>
      <c r="CL52" s="591">
        <f t="shared" si="17"/>
        <v>2</v>
      </c>
      <c r="CM52" s="716">
        <f t="shared" si="45"/>
        <v>-8.8999999999998636E-2</v>
      </c>
      <c r="CN52" s="716">
        <f t="shared" si="45"/>
        <v>-11</v>
      </c>
      <c r="CO52" s="716">
        <f t="shared" si="45"/>
        <v>3</v>
      </c>
      <c r="CP52" s="716">
        <f t="shared" si="45"/>
        <v>8</v>
      </c>
      <c r="CQ52" s="716">
        <f t="shared" si="45"/>
        <v>14</v>
      </c>
      <c r="CR52" s="716">
        <f t="shared" si="45"/>
        <v>-11</v>
      </c>
      <c r="CS52" s="716">
        <f t="shared" si="45"/>
        <v>-20</v>
      </c>
      <c r="CT52" s="716">
        <f t="shared" si="45"/>
        <v>0</v>
      </c>
      <c r="CU52" s="716">
        <f t="shared" si="45"/>
        <v>0</v>
      </c>
      <c r="CV52" s="717" t="str">
        <f t="shared" si="37"/>
        <v>faux</v>
      </c>
      <c r="CW52" s="718">
        <f>IF(E52=0,"",VLOOKUP(B52,[10]liste!AU:BD,10,FALSE))</f>
        <v>2</v>
      </c>
      <c r="CX52" s="719">
        <f t="shared" si="19"/>
        <v>483</v>
      </c>
      <c r="CY52" s="720" t="str">
        <f t="shared" si="38"/>
        <v>NC</v>
      </c>
      <c r="CZ52" s="789"/>
      <c r="DA52" s="789"/>
      <c r="DB52" s="789"/>
      <c r="DC52" s="722" t="str">
        <f t="shared" ca="1" si="20"/>
        <v/>
      </c>
      <c r="DE52" s="723">
        <f t="shared" si="21"/>
        <v>500.089</v>
      </c>
      <c r="DF52" s="723">
        <f t="shared" si="22"/>
        <v>483</v>
      </c>
      <c r="DG52" s="697" t="str">
        <f t="shared" si="23"/>
        <v>Simon Titouan</v>
      </c>
      <c r="DH52" s="724">
        <f t="shared" si="24"/>
        <v>0</v>
      </c>
      <c r="DI52" s="724">
        <f t="shared" si="39"/>
        <v>2</v>
      </c>
      <c r="DJ52" s="719">
        <f t="shared" si="25"/>
        <v>500</v>
      </c>
      <c r="DK52" s="719" t="str">
        <f t="shared" si="26"/>
        <v/>
      </c>
      <c r="DL52" s="719" t="str">
        <f t="shared" si="40"/>
        <v/>
      </c>
      <c r="DM52" s="789"/>
      <c r="DN52" s="789"/>
      <c r="DO52" s="789"/>
      <c r="DP52" s="720">
        <f t="shared" si="41"/>
        <v>5</v>
      </c>
      <c r="DQ52" s="591">
        <f ca="1">VLOOKUP(DG52,[10]résultats!$A$2:$DE$70,109,FALSE)</f>
        <v>9</v>
      </c>
      <c r="DR52" s="591">
        <f ca="1">VLOOKUP(DG52,[10]résultats!$A$2:$DG$70,111,FALSE)</f>
        <v>33</v>
      </c>
      <c r="DT52" s="591">
        <f t="shared" si="42"/>
        <v>38</v>
      </c>
      <c r="DU52" s="591">
        <f t="shared" si="43"/>
        <v>39</v>
      </c>
    </row>
    <row r="53" spans="1:125" s="554" customFormat="1" ht="23.1" customHeight="1">
      <c r="A53" s="308">
        <f t="shared" si="9"/>
        <v>33</v>
      </c>
      <c r="B53" s="297" t="str">
        <f>IF(E53=0,"",VLOOKUP(E53,[10]liste!AM:AN,2,FALSE))</f>
        <v>Zaragoza Quentin</v>
      </c>
      <c r="C53" s="762">
        <f>IF(E53=0,"",VLOOKUP(B53,[10]liste!AN:AP,3,FALSE))</f>
        <v>5</v>
      </c>
      <c r="D53" s="691">
        <f t="shared" si="10"/>
        <v>6</v>
      </c>
      <c r="E53" s="692">
        <f>LARGE([10]liste!AM:AM,38)</f>
        <v>500.04700000000003</v>
      </c>
      <c r="F53" s="693">
        <v>500</v>
      </c>
      <c r="G53" s="693">
        <v>535</v>
      </c>
      <c r="H53" s="693">
        <v>539</v>
      </c>
      <c r="I53" s="692">
        <v>539</v>
      </c>
      <c r="J53" s="693">
        <v>585</v>
      </c>
      <c r="K53" s="693">
        <v>621</v>
      </c>
      <c r="L53" s="693">
        <v>660</v>
      </c>
      <c r="M53" s="692">
        <v>652</v>
      </c>
      <c r="N53" s="692">
        <v>652</v>
      </c>
      <c r="O53" s="694"/>
      <c r="P53" s="695">
        <f t="shared" ca="1" si="11"/>
        <v>0</v>
      </c>
      <c r="Q53" s="170">
        <f t="shared" si="12"/>
        <v>151.95299999999997</v>
      </c>
      <c r="R53" s="696">
        <f ca="1">IF(U53&lt;MAX(U$16:U$81)/6.2,"NS",IF(B53="",0,VLOOKUP(B53,[10]résultats!AX:DH,63,FALSE)))</f>
        <v>0.5366575737452598</v>
      </c>
      <c r="S53" s="763" t="str">
        <f t="shared" si="13"/>
        <v>Zaragoza Quentin</v>
      </c>
      <c r="T53" s="171">
        <f ca="1">DQ53</f>
        <v>44</v>
      </c>
      <c r="U53" s="172">
        <f ca="1">DR53</f>
        <v>82</v>
      </c>
      <c r="V53" s="770">
        <f ca="1">IF(B53="",0,HLOOKUP(B53&amp;"a",[11]Feuil1!$A$27:$FX$48,20,FALSE)+RAND()*0.0001)</f>
        <v>20.00001140214351</v>
      </c>
      <c r="W53" s="771">
        <f ca="1">IF(B53="",0,HLOOKUP(B53&amp;"a",[11]Feuil1!$A$27:$FX$48,21,FALSE))+RAND()*0.0001</f>
        <v>1.0000342134582867</v>
      </c>
      <c r="X53" s="772">
        <f t="shared" si="27"/>
        <v>654</v>
      </c>
      <c r="Y53" s="701">
        <f t="shared" si="15"/>
        <v>660</v>
      </c>
      <c r="Z53" s="604">
        <v>3</v>
      </c>
      <c r="AA53" s="177" t="str">
        <f ca="1">'[10] joueur de l''année'!AA34</f>
        <v>Simon Titouan</v>
      </c>
      <c r="AB53" s="730" t="str">
        <f>""</f>
        <v/>
      </c>
      <c r="AC53" s="730" t="str">
        <f>""</f>
        <v/>
      </c>
      <c r="AD53" s="782" t="s">
        <v>398</v>
      </c>
      <c r="AE53" s="783">
        <v>954.41758888888887</v>
      </c>
      <c r="AF53" s="784">
        <f>ROUNDDOWN(AE53/100,0)</f>
        <v>9</v>
      </c>
      <c r="AH53" s="785">
        <v>954.41758888888887</v>
      </c>
      <c r="AI53" s="786">
        <f>ROUNDDOWN(AH53/100,0)</f>
        <v>9</v>
      </c>
      <c r="AJ53" s="677"/>
      <c r="AK53" s="677">
        <f t="shared" si="28"/>
        <v>82</v>
      </c>
      <c r="AL53" s="705" t="str">
        <f t="shared" si="16"/>
        <v>Zaragoza Quentin</v>
      </c>
      <c r="AM53" s="706">
        <f>IF(OR(HLOOKUP($AL53&amp;"a",[11]Feuil1!$A$27:$EP$48,3,FALSE)=FALSE,HLOOKUP($AL53&amp;"a",[11]Feuil1!$A$27:$EP$48,3,FALSE)=""),0,HLOOKUP($AL53&amp;"a",[11]Feuil1!$A$27:$EP$48,3,FALSE))</f>
        <v>35</v>
      </c>
      <c r="AN53" s="706">
        <f>IF(HLOOKUP($AL53&amp;"aa",[11]Feuil1!$A$27:$EP$48,3,FALSE)=FALSE,0,HLOOKUP($AL53&amp;"aa",[11]Feuil1!$A$27:$EP$48,3,FALSE))</f>
        <v>6</v>
      </c>
      <c r="AO53" s="706">
        <f>IF(OR(HLOOKUP($AL53&amp;"a",[11]Feuil1!$A$27:$EP$48,4,FALSE)=FALSE,HLOOKUP($AL53&amp;"a",[11]Feuil1!$A$27:$EP$48,4,FALSE)=""),0,HLOOKUP($AL53&amp;"a",[11]Feuil1!$A$27:$EP$48,4,FALSE))</f>
        <v>7</v>
      </c>
      <c r="AP53" s="706">
        <f>IF(HLOOKUP($AL53&amp;"aa",[11]Feuil1!$A$27:$EP$48,4,FALSE)=FALSE,0,HLOOKUP($AL53&amp;"aa",[11]Feuil1!$A$27:$EP$48,4,FALSE))</f>
        <v>11</v>
      </c>
      <c r="AQ53" s="706">
        <f>IF(OR(HLOOKUP($AL53&amp;"a",[11]Feuil1!$A$27:$EP$48,5,FALSE)=FALSE,HLOOKUP($AL53&amp;"a",[11]Feuil1!$A$27:$EP$48,5,FALSE)=""),0,HLOOKUP($AL53&amp;"a",[11]Feuil1!$A$27:$EP$48,5,FALSE))</f>
        <v>2</v>
      </c>
      <c r="AR53" s="706">
        <f>IF(HLOOKUP($AL53&amp;"aa",[11]Feuil1!$A$27:$EP$48,5,FALSE)=FALSE,0,HLOOKUP($AL53&amp;"aa",[11]Feuil1!$A$27:$EP$48,5,FALSE))</f>
        <v>8</v>
      </c>
      <c r="AS53" s="706">
        <f>IF(OR(HLOOKUP($AL53&amp;"a",[11]Feuil1!$A$27:$EP$48,6,FALSE)=FALSE,HLOOKUP($AL53&amp;"a",[11]Feuil1!$A$27:$EP$48,6,FALSE)=""),0,HLOOKUP($AL53&amp;"a",[11]Feuil1!$A$27:$EP$48,6,FALSE))</f>
        <v>0</v>
      </c>
      <c r="AT53" s="706">
        <f>IF(HLOOKUP($AL53&amp;"aa",[11]Feuil1!$A$27:$EP$48,6,FALSE)=FALSE,0,HLOOKUP($AL53&amp;"aa",[11]Feuil1!$A$27:$EP$48,6,FALSE))</f>
        <v>8</v>
      </c>
      <c r="AU53" s="706">
        <f>IF(OR(HLOOKUP($AL53&amp;"a",[11]Feuil1!$A$27:$EP$48,7,FALSE)=FALSE,HLOOKUP($AL53&amp;"a",[11]Feuil1!$A$27:$EP$48,7,FALSE)=""),0,HLOOKUP($AL53&amp;"a",[11]Feuil1!$A$27:$EP$48,7,FALSE))</f>
        <v>0</v>
      </c>
      <c r="AV53" s="706">
        <f>IF(HLOOKUP($AL53&amp;"aa",[11]Feuil1!$A$27:$EP$48,7,FALSE)=FALSE,0,HLOOKUP($AL53&amp;"aa",[11]Feuil1!$A$27:$EP$48,7,FALSE))</f>
        <v>3</v>
      </c>
      <c r="AW53" s="706">
        <f>IF(OR(HLOOKUP($AL53&amp;"a",[11]Feuil1!$A$27:$EP$48,8,FALSE)=FALSE,HLOOKUP($AL53&amp;"a",[11]Feuil1!$A$27:$EP$48,8,FALSE)=""),0,HLOOKUP($AL53&amp;"a",[11]Feuil1!$A$27:$EP$48,8,FALSE))</f>
        <v>0</v>
      </c>
      <c r="AX53" s="706">
        <f>IF(HLOOKUP($AL53&amp;"aa",[11]Feuil1!$A$27:$EP$48,8,FALSE)=FALSE,0,HLOOKUP($AL53&amp;"aa",[11]Feuil1!$A$27:$EP$48,8,FALSE))</f>
        <v>1</v>
      </c>
      <c r="AY53" s="706">
        <f>IF(OR(HLOOKUP($AL53&amp;"a",[11]Feuil1!$A$27:$EP$48,9,FALSE)=FALSE,HLOOKUP($AL53&amp;"a",[11]Feuil1!$A$27:$EP$48,9,FALSE)=""),0,HLOOKUP($AL53&amp;"a",[11]Feuil1!$A$27:$EP$48,9,FALSE))</f>
        <v>0</v>
      </c>
      <c r="AZ53" s="706">
        <f>IF(HLOOKUP($AL53&amp;"aa",[11]Feuil1!$A$27:$EP$48,9,FALSE)=FALSE,0,HLOOKUP($AL53&amp;"aa",[11]Feuil1!$A$27:$EP$48,9,FALSE))</f>
        <v>1</v>
      </c>
      <c r="BA53" s="706">
        <f>IF(OR(HLOOKUP($AL53&amp;"a",[11]Feuil1!$A$27:$EP$48,10,FALSE)=FALSE,HLOOKUP($AL53&amp;"a",[11]Feuil1!$A$27:$EP$48,10,FALSE)=""),0,HLOOKUP($AL53&amp;"a",[11]Feuil1!$A$27:$EP$48,10,FALSE))</f>
        <v>0</v>
      </c>
      <c r="BB53" s="706">
        <f>IF(HLOOKUP($AL53&amp;"aa",[11]Feuil1!$A$27:$EP$48,10,FALSE)=FALSE,0,HLOOKUP($AL53&amp;"aa",[11]Feuil1!$A$27:$EP$48,10,FALSE))</f>
        <v>0</v>
      </c>
      <c r="BC53" s="706">
        <f>IF(OR(HLOOKUP($AL53&amp;"a",[11]Feuil1!$A$27:$EP$48,11,FALSE)=FALSE,HLOOKUP($AL53&amp;"a",[11]Feuil1!$A$27:$EP$48,11,FALSE)=""),0,HLOOKUP($AL53&amp;"a",[11]Feuil1!$A$27:$EP$48,11,FALSE))</f>
        <v>0</v>
      </c>
      <c r="BD53" s="706">
        <f>IF(HLOOKUP($AL53&amp;"aa",[11]Feuil1!$A$27:$EP$48,11,FALSE)=FALSE,0,HLOOKUP($AL53&amp;"aa",[11]Feuil1!$A$27:$EP$48,11,FALSE))</f>
        <v>0</v>
      </c>
      <c r="BE53" s="706">
        <f>IF(OR(HLOOKUP($AL53&amp;"a",[11]Feuil1!$A$27:$EP$48,12,FALSE)=FALSE,HLOOKUP($AL53&amp;"a",[11]Feuil1!$A$27:$EP$48,12,FALSE)=""),0,HLOOKUP($AL53&amp;"a",[11]Feuil1!$A$27:$EP$48,12,FALSE))</f>
        <v>0</v>
      </c>
      <c r="BF53" s="706">
        <f>IF(HLOOKUP($AL53&amp;"aa",[11]Feuil1!$A$27:$EP$48,12,FALSE)=FALSE,0,HLOOKUP($AL53&amp;"aa",[11]Feuil1!$A$27:$EP$48,12,FALSE))</f>
        <v>0</v>
      </c>
      <c r="BG53" s="706">
        <f>IF(OR(HLOOKUP($AL53&amp;"a",[11]Feuil1!$A$27:$EP$48,13,FALSE)=FALSE,HLOOKUP($AL53&amp;"a",[11]Feuil1!$A$27:$EP$48,13,FALSE)=""),0,HLOOKUP($AL53&amp;"a",[11]Feuil1!$A$27:$EP$48,13,FALSE))</f>
        <v>0</v>
      </c>
      <c r="BH53" s="706">
        <f>IF(HLOOKUP($AL53&amp;"aa",[11]Feuil1!$A$27:$EP$48,13,FALSE)=FALSE,0,HLOOKUP($AL53&amp;"aa",[11]Feuil1!$A$27:$EP$48,13,FALSE))</f>
        <v>0</v>
      </c>
      <c r="BI53" s="706">
        <f>IF(OR(HLOOKUP($AL53&amp;"a",[11]Feuil1!$A$27:$EP$48,14,FALSE)=FALSE,HLOOKUP($AL53&amp;"a",[11]Feuil1!$A$27:$EP$48,14,FALSE)=""),0,HLOOKUP($AL53&amp;"a",[11]Feuil1!$A$27:$EP$48,14,FALSE))</f>
        <v>0</v>
      </c>
      <c r="BJ53" s="706">
        <f>IF(HLOOKUP($AL53&amp;"aa",[11]Feuil1!$A$27:$EP$48,14,FALSE)=FALSE,0,HLOOKUP($AL53&amp;"aa",[11]Feuil1!$A$27:$EP$48,14,FALSE))</f>
        <v>0</v>
      </c>
      <c r="BK53" s="706">
        <f>IF(OR(HLOOKUP($AL53&amp;"a",[11]Feuil1!$A$27:$EP$48,15,FALSE)=FALSE,HLOOKUP($AL53&amp;"a",[11]Feuil1!$A$27:$EP$48,15,FALSE)=""),0,HLOOKUP($AL53&amp;"a",[11]Feuil1!$A$27:$EP$48,15,FALSE))</f>
        <v>0</v>
      </c>
      <c r="BL53" s="706">
        <f>IF(HLOOKUP($AL53&amp;"aa",[11]Feuil1!$A$27:$EP$48,15,FALSE)=FALSE,0,HLOOKUP($AL53&amp;"aa",[11]Feuil1!$A$27:$EP$48,15,FALSE))</f>
        <v>0</v>
      </c>
      <c r="BM53" s="706">
        <f>IF(OR(HLOOKUP($AL53&amp;"a",[11]Feuil1!$A$27:$EP$48,16,FALSE)=FALSE,HLOOKUP($AL53&amp;"a",[11]Feuil1!$A$27:$EP$48,16,FALSE)=""),0,HLOOKUP($AL53&amp;"a",[11]Feuil1!$A$27:$EP$48,16,FALSE))</f>
        <v>0</v>
      </c>
      <c r="BN53" s="706">
        <f>IF(HLOOKUP($AL53&amp;"aa",[11]Feuil1!$A$27:$EP$48,16,FALSE)=FALSE,0,HLOOKUP($AL53&amp;"aa",[11]Feuil1!$A$27:$EP$48,16,FALSE))</f>
        <v>0</v>
      </c>
      <c r="BO53" s="706">
        <f>IF(OR(HLOOKUP($AL53&amp;"a",[11]Feuil1!$A$27:$EP$48,17,FALSE)=FALSE,HLOOKUP($AL53&amp;"a",[11]Feuil1!$A$27:$EP$48,17,FALSE)=""),0,HLOOKUP($AL53&amp;"a",[11]Feuil1!$A$27:$EP$48,17,FALSE))</f>
        <v>0</v>
      </c>
      <c r="BP53" s="706">
        <f>IF(HLOOKUP($AL53&amp;"aa",[11]Feuil1!$A$27:$EP$48,17,FALSE)=FALSE,0,HLOOKUP($AL53&amp;"aa",[11]Feuil1!$A$27:$EP$48,17,FALSE))</f>
        <v>0</v>
      </c>
      <c r="BQ53" s="706">
        <f>IF(OR(HLOOKUP($AL53&amp;"a",[11]Feuil1!$A$27:$EP$48,18,FALSE)=FALSE,HLOOKUP($AL53&amp;"a",[11]Feuil1!$A$27:$EP$48,18,FALSE)=""),0,HLOOKUP($AL53&amp;"a",[11]Feuil1!$A$27:$EP$48,18,FALSE))</f>
        <v>0</v>
      </c>
      <c r="BR53" s="706">
        <f>IF(HLOOKUP($AL53&amp;"aa",[11]Feuil1!$A$27:$EP$48,18,FALSE)=FALSE,0,HLOOKUP($AL53&amp;"aa",[11]Feuil1!$A$27:$EP$48,18,FALSE))</f>
        <v>0</v>
      </c>
      <c r="BS53" s="707">
        <f t="shared" si="29"/>
        <v>5.25</v>
      </c>
      <c r="BT53" s="707">
        <f t="shared" si="30"/>
        <v>6.9473684210526319</v>
      </c>
      <c r="BU53" s="707">
        <f t="shared" si="31"/>
        <v>6.0365853658536581</v>
      </c>
      <c r="BV53" s="561"/>
      <c r="BW53" s="561"/>
      <c r="BX53" t="str">
        <f t="shared" si="46"/>
        <v/>
      </c>
      <c r="BY53"/>
      <c r="BZ53"/>
      <c r="CA53"/>
      <c r="CB53"/>
      <c r="CC53"/>
      <c r="CD53"/>
      <c r="CE53" s="561"/>
      <c r="CF53" s="561"/>
      <c r="CG53" s="561"/>
      <c r="CH53" s="561"/>
      <c r="CI53" s="714"/>
      <c r="CK53" s="715">
        <f>MAX(CM53:CU53)</f>
        <v>46</v>
      </c>
      <c r="CL53" s="591">
        <f>IF(D53=C53,0,IF(D53&lt;C53,1,2))</f>
        <v>2</v>
      </c>
      <c r="CM53" s="716">
        <f t="shared" si="45"/>
        <v>-4.7000000000025466E-2</v>
      </c>
      <c r="CN53" s="716">
        <f t="shared" si="45"/>
        <v>35</v>
      </c>
      <c r="CO53" s="716">
        <f t="shared" si="45"/>
        <v>4</v>
      </c>
      <c r="CP53" s="716">
        <f t="shared" si="45"/>
        <v>0</v>
      </c>
      <c r="CQ53" s="716">
        <f t="shared" si="45"/>
        <v>46</v>
      </c>
      <c r="CR53" s="716">
        <f t="shared" si="45"/>
        <v>36</v>
      </c>
      <c r="CS53" s="716">
        <f t="shared" si="45"/>
        <v>39</v>
      </c>
      <c r="CT53" s="716">
        <f t="shared" si="45"/>
        <v>-8</v>
      </c>
      <c r="CU53" s="716">
        <f t="shared" si="45"/>
        <v>0</v>
      </c>
      <c r="CV53" s="717" t="str">
        <f t="shared" si="37"/>
        <v>faux</v>
      </c>
      <c r="CW53" s="718">
        <f>IF(E53=0,"",VLOOKUP(B53,[10]liste!AU:BD,10,FALSE))</f>
        <v>2</v>
      </c>
      <c r="CX53" s="719">
        <f t="shared" si="19"/>
        <v>652</v>
      </c>
      <c r="CY53" s="720">
        <f t="shared" si="38"/>
        <v>6</v>
      </c>
      <c r="CZ53" s="789"/>
      <c r="DA53" s="789"/>
      <c r="DB53" s="789"/>
      <c r="DC53" s="722" t="str">
        <f t="shared" ca="1" si="20"/>
        <v/>
      </c>
      <c r="DE53" s="723">
        <f t="shared" si="21"/>
        <v>500.04700000000003</v>
      </c>
      <c r="DF53" s="723">
        <f t="shared" si="22"/>
        <v>652</v>
      </c>
      <c r="DG53" s="697" t="str">
        <f t="shared" si="23"/>
        <v>Zaragoza Quentin</v>
      </c>
      <c r="DH53" s="724">
        <f t="shared" si="24"/>
        <v>7</v>
      </c>
      <c r="DI53" s="724">
        <f t="shared" si="39"/>
        <v>2</v>
      </c>
      <c r="DJ53" s="719">
        <f t="shared" si="25"/>
        <v>539</v>
      </c>
      <c r="DK53" s="719" t="str">
        <f t="shared" si="26"/>
        <v/>
      </c>
      <c r="DL53" s="719" t="str">
        <f t="shared" si="40"/>
        <v/>
      </c>
      <c r="DM53" s="789"/>
      <c r="DN53" s="789"/>
      <c r="DO53" s="789"/>
      <c r="DP53" s="720">
        <f t="shared" si="41"/>
        <v>5</v>
      </c>
      <c r="DQ53" s="591">
        <f ca="1">VLOOKUP(DG53,[10]résultats!$A$2:$DE$70,109,FALSE)</f>
        <v>44</v>
      </c>
      <c r="DR53" s="591">
        <f ca="1">VLOOKUP(DG53,[10]résultats!$A$2:$DG$70,111,FALSE)</f>
        <v>82</v>
      </c>
      <c r="DT53" s="591">
        <f t="shared" si="42"/>
        <v>36</v>
      </c>
      <c r="DU53" s="591">
        <f t="shared" si="43"/>
        <v>32</v>
      </c>
    </row>
    <row r="54" spans="1:125" s="554" customFormat="1" ht="23.1" customHeight="1">
      <c r="A54" s="308">
        <f t="shared" si="9"/>
        <v>40</v>
      </c>
      <c r="B54" s="297" t="str">
        <f>IF(E54=0,"",VLOOKUP(E54,[10]liste!AM:AN,2,FALSE))</f>
        <v>Ayoul-Bellot Thais</v>
      </c>
      <c r="C54" s="762">
        <f>IF(E54=0,"",VLOOKUP(B54,[10]liste!AN:AP,3,FALSE))</f>
        <v>5</v>
      </c>
      <c r="D54" s="691" t="str">
        <f t="shared" si="10"/>
        <v>NC</v>
      </c>
      <c r="E54" s="692">
        <f>LARGE([10]liste!AM:AM,39)</f>
        <v>500.02409999999998</v>
      </c>
      <c r="F54" s="693">
        <v>500</v>
      </c>
      <c r="G54" s="693">
        <v>489</v>
      </c>
      <c r="H54" s="693">
        <v>484</v>
      </c>
      <c r="I54" s="692">
        <v>500</v>
      </c>
      <c r="J54" s="693">
        <v>500</v>
      </c>
      <c r="K54" s="693">
        <v>500</v>
      </c>
      <c r="L54" s="693">
        <v>479</v>
      </c>
      <c r="M54" s="692">
        <v>479</v>
      </c>
      <c r="N54" s="692">
        <v>479</v>
      </c>
      <c r="O54" s="694"/>
      <c r="P54" s="695">
        <f t="shared" ca="1" si="11"/>
        <v>0</v>
      </c>
      <c r="Q54" s="170">
        <f t="shared" si="12"/>
        <v>-21.024099999999976</v>
      </c>
      <c r="R54" s="696">
        <f ca="1">IF(U54&lt;MAX(U$16:U$81)/6.2,"NS",IF(B54="",0,VLOOKUP(B54,[10]résultats!AX:DH,63,FALSE)))</f>
        <v>0.11119867485718127</v>
      </c>
      <c r="S54" s="763" t="str">
        <f t="shared" si="13"/>
        <v>Ayoul-Bellot Thais</v>
      </c>
      <c r="T54" s="171">
        <f t="shared" ca="1" si="14"/>
        <v>2</v>
      </c>
      <c r="U54" s="172">
        <f t="shared" ca="1" si="14"/>
        <v>18</v>
      </c>
      <c r="V54" s="770">
        <f ca="1">IF(B54="",0,HLOOKUP(B54&amp;"a",[11]Feuil1!$A$27:$FX$48,20,FALSE)+RAND()*0.0001)</f>
        <v>6.1766520336190562E-5</v>
      </c>
      <c r="W54" s="771">
        <f ca="1">IF(B54="",0,HLOOKUP(B54&amp;"a",[11]Feuil1!$A$27:$FX$48,21,FALSE))+RAND()*0.0001</f>
        <v>8.9549760011545051E-5</v>
      </c>
      <c r="X54" s="772">
        <f t="shared" si="27"/>
        <v>556</v>
      </c>
      <c r="Y54" s="701">
        <f t="shared" si="15"/>
        <v>500.02409999999998</v>
      </c>
      <c r="Z54" s="790">
        <v>4</v>
      </c>
      <c r="AA54" s="791" t="str">
        <f ca="1">'[10] joueur de l''année'!AA35</f>
        <v>Ayoul-Bellot Thais</v>
      </c>
      <c r="AB54" s="169"/>
      <c r="AC54" s="169"/>
      <c r="AD54" s="168"/>
      <c r="AE54" s="168"/>
      <c r="AF54" s="168"/>
      <c r="AG54" s="169"/>
      <c r="AH54" s="169"/>
      <c r="AI54" s="169"/>
      <c r="AJ54" s="677"/>
      <c r="AK54" s="677">
        <f t="shared" si="28"/>
        <v>18</v>
      </c>
      <c r="AL54" s="705" t="str">
        <f t="shared" si="16"/>
        <v>Ayoul-Bellot Thais</v>
      </c>
      <c r="AM54" s="706">
        <f>IF(OR(HLOOKUP($AL54&amp;"a",[11]Feuil1!$A$27:$EP$48,3,FALSE)=FALSE,HLOOKUP($AL54&amp;"a",[11]Feuil1!$A$27:$EP$48,3,FALSE)=""),0,HLOOKUP($AL54&amp;"a",[11]Feuil1!$A$27:$EP$48,3,FALSE))</f>
        <v>2</v>
      </c>
      <c r="AN54" s="706">
        <f>IF(HLOOKUP($AL54&amp;"aa",[11]Feuil1!$A$27:$EP$48,3,FALSE)=FALSE,0,HLOOKUP($AL54&amp;"aa",[11]Feuil1!$A$27:$EP$48,3,FALSE))</f>
        <v>15</v>
      </c>
      <c r="AO54" s="706">
        <f>IF(OR(HLOOKUP($AL54&amp;"a",[11]Feuil1!$A$27:$EP$48,4,FALSE)=FALSE,HLOOKUP($AL54&amp;"a",[11]Feuil1!$A$27:$EP$48,4,FALSE)=""),0,HLOOKUP($AL54&amp;"a",[11]Feuil1!$A$27:$EP$48,4,FALSE))</f>
        <v>0</v>
      </c>
      <c r="AP54" s="706">
        <f>IF(HLOOKUP($AL54&amp;"aa",[11]Feuil1!$A$27:$EP$48,4,FALSE)=FALSE,0,HLOOKUP($AL54&amp;"aa",[11]Feuil1!$A$27:$EP$48,4,FALSE))</f>
        <v>1</v>
      </c>
      <c r="AQ54" s="706">
        <f>IF(OR(HLOOKUP($AL54&amp;"a",[11]Feuil1!$A$27:$EP$48,5,FALSE)=FALSE,HLOOKUP($AL54&amp;"a",[11]Feuil1!$A$27:$EP$48,5,FALSE)=""),0,HLOOKUP($AL54&amp;"a",[11]Feuil1!$A$27:$EP$48,5,FALSE))</f>
        <v>0</v>
      </c>
      <c r="AR54" s="706">
        <f>IF(HLOOKUP($AL54&amp;"aa",[11]Feuil1!$A$27:$EP$48,5,FALSE)=FALSE,0,HLOOKUP($AL54&amp;"aa",[11]Feuil1!$A$27:$EP$48,5,FALSE))</f>
        <v>0</v>
      </c>
      <c r="AS54" s="706">
        <f>IF(OR(HLOOKUP($AL54&amp;"a",[11]Feuil1!$A$27:$EP$48,6,FALSE)=FALSE,HLOOKUP($AL54&amp;"a",[11]Feuil1!$A$27:$EP$48,6,FALSE)=""),0,HLOOKUP($AL54&amp;"a",[11]Feuil1!$A$27:$EP$48,6,FALSE))</f>
        <v>0</v>
      </c>
      <c r="AT54" s="706">
        <f>IF(HLOOKUP($AL54&amp;"aa",[11]Feuil1!$A$27:$EP$48,6,FALSE)=FALSE,0,HLOOKUP($AL54&amp;"aa",[11]Feuil1!$A$27:$EP$48,6,FALSE))</f>
        <v>0</v>
      </c>
      <c r="AU54" s="706">
        <f>IF(OR(HLOOKUP($AL54&amp;"a",[11]Feuil1!$A$27:$EP$48,7,FALSE)=FALSE,HLOOKUP($AL54&amp;"a",[11]Feuil1!$A$27:$EP$48,7,FALSE)=""),0,HLOOKUP($AL54&amp;"a",[11]Feuil1!$A$27:$EP$48,7,FALSE))</f>
        <v>0</v>
      </c>
      <c r="AV54" s="706">
        <f>IF(HLOOKUP($AL54&amp;"aa",[11]Feuil1!$A$27:$EP$48,7,FALSE)=FALSE,0,HLOOKUP($AL54&amp;"aa",[11]Feuil1!$A$27:$EP$48,7,FALSE))</f>
        <v>0</v>
      </c>
      <c r="AW54" s="706">
        <f>IF(OR(HLOOKUP($AL54&amp;"a",[11]Feuil1!$A$27:$EP$48,8,FALSE)=FALSE,HLOOKUP($AL54&amp;"a",[11]Feuil1!$A$27:$EP$48,8,FALSE)=""),0,HLOOKUP($AL54&amp;"a",[11]Feuil1!$A$27:$EP$48,8,FALSE))</f>
        <v>0</v>
      </c>
      <c r="AX54" s="706">
        <f>IF(HLOOKUP($AL54&amp;"aa",[11]Feuil1!$A$27:$EP$48,8,FALSE)=FALSE,0,HLOOKUP($AL54&amp;"aa",[11]Feuil1!$A$27:$EP$48,8,FALSE))</f>
        <v>0</v>
      </c>
      <c r="AY54" s="706">
        <f>IF(OR(HLOOKUP($AL54&amp;"a",[11]Feuil1!$A$27:$EP$48,9,FALSE)=FALSE,HLOOKUP($AL54&amp;"a",[11]Feuil1!$A$27:$EP$48,9,FALSE)=""),0,HLOOKUP($AL54&amp;"a",[11]Feuil1!$A$27:$EP$48,9,FALSE))</f>
        <v>0</v>
      </c>
      <c r="AZ54" s="706">
        <f>IF(HLOOKUP($AL54&amp;"aa",[11]Feuil1!$A$27:$EP$48,9,FALSE)=FALSE,0,HLOOKUP($AL54&amp;"aa",[11]Feuil1!$A$27:$EP$48,9,FALSE))</f>
        <v>0</v>
      </c>
      <c r="BA54" s="706">
        <f>IF(OR(HLOOKUP($AL54&amp;"a",[11]Feuil1!$A$27:$EP$48,10,FALSE)=FALSE,HLOOKUP($AL54&amp;"a",[11]Feuil1!$A$27:$EP$48,10,FALSE)=""),0,HLOOKUP($AL54&amp;"a",[11]Feuil1!$A$27:$EP$48,10,FALSE))</f>
        <v>0</v>
      </c>
      <c r="BB54" s="706">
        <f>IF(HLOOKUP($AL54&amp;"aa",[11]Feuil1!$A$27:$EP$48,10,FALSE)=FALSE,0,HLOOKUP($AL54&amp;"aa",[11]Feuil1!$A$27:$EP$48,10,FALSE))</f>
        <v>0</v>
      </c>
      <c r="BC54" s="706">
        <f>IF(OR(HLOOKUP($AL54&amp;"a",[11]Feuil1!$A$27:$EP$48,11,FALSE)=FALSE,HLOOKUP($AL54&amp;"a",[11]Feuil1!$A$27:$EP$48,11,FALSE)=""),0,HLOOKUP($AL54&amp;"a",[11]Feuil1!$A$27:$EP$48,11,FALSE))</f>
        <v>0</v>
      </c>
      <c r="BD54" s="706">
        <f>IF(HLOOKUP($AL54&amp;"aa",[11]Feuil1!$A$27:$EP$48,11,FALSE)=FALSE,0,HLOOKUP($AL54&amp;"aa",[11]Feuil1!$A$27:$EP$48,11,FALSE))</f>
        <v>0</v>
      </c>
      <c r="BE54" s="706">
        <f>IF(OR(HLOOKUP($AL54&amp;"a",[11]Feuil1!$A$27:$EP$48,12,FALSE)=FALSE,HLOOKUP($AL54&amp;"a",[11]Feuil1!$A$27:$EP$48,12,FALSE)=""),0,HLOOKUP($AL54&amp;"a",[11]Feuil1!$A$27:$EP$48,12,FALSE))</f>
        <v>0</v>
      </c>
      <c r="BF54" s="706">
        <f>IF(HLOOKUP($AL54&amp;"aa",[11]Feuil1!$A$27:$EP$48,12,FALSE)=FALSE,0,HLOOKUP($AL54&amp;"aa",[11]Feuil1!$A$27:$EP$48,12,FALSE))</f>
        <v>0</v>
      </c>
      <c r="BG54" s="706">
        <f>IF(OR(HLOOKUP($AL54&amp;"a",[11]Feuil1!$A$27:$EP$48,13,FALSE)=FALSE,HLOOKUP($AL54&amp;"a",[11]Feuil1!$A$27:$EP$48,13,FALSE)=""),0,HLOOKUP($AL54&amp;"a",[11]Feuil1!$A$27:$EP$48,13,FALSE))</f>
        <v>0</v>
      </c>
      <c r="BH54" s="706">
        <f>IF(HLOOKUP($AL54&amp;"aa",[11]Feuil1!$A$27:$EP$48,13,FALSE)=FALSE,0,HLOOKUP($AL54&amp;"aa",[11]Feuil1!$A$27:$EP$48,13,FALSE))</f>
        <v>0</v>
      </c>
      <c r="BI54" s="706">
        <f>IF(OR(HLOOKUP($AL54&amp;"a",[11]Feuil1!$A$27:$EP$48,14,FALSE)=FALSE,HLOOKUP($AL54&amp;"a",[11]Feuil1!$A$27:$EP$48,14,FALSE)=""),0,HLOOKUP($AL54&amp;"a",[11]Feuil1!$A$27:$EP$48,14,FALSE))</f>
        <v>0</v>
      </c>
      <c r="BJ54" s="706">
        <f>IF(HLOOKUP($AL54&amp;"aa",[11]Feuil1!$A$27:$EP$48,14,FALSE)=FALSE,0,HLOOKUP($AL54&amp;"aa",[11]Feuil1!$A$27:$EP$48,14,FALSE))</f>
        <v>0</v>
      </c>
      <c r="BK54" s="706">
        <f>IF(OR(HLOOKUP($AL54&amp;"a",[11]Feuil1!$A$27:$EP$48,15,FALSE)=FALSE,HLOOKUP($AL54&amp;"a",[11]Feuil1!$A$27:$EP$48,15,FALSE)=""),0,HLOOKUP($AL54&amp;"a",[11]Feuil1!$A$27:$EP$48,15,FALSE))</f>
        <v>0</v>
      </c>
      <c r="BL54" s="706">
        <f>IF(HLOOKUP($AL54&amp;"aa",[11]Feuil1!$A$27:$EP$48,15,FALSE)=FALSE,0,HLOOKUP($AL54&amp;"aa",[11]Feuil1!$A$27:$EP$48,15,FALSE))</f>
        <v>0</v>
      </c>
      <c r="BM54" s="706">
        <f>IF(OR(HLOOKUP($AL54&amp;"a",[11]Feuil1!$A$27:$EP$48,16,FALSE)=FALSE,HLOOKUP($AL54&amp;"a",[11]Feuil1!$A$27:$EP$48,16,FALSE)=""),0,HLOOKUP($AL54&amp;"a",[11]Feuil1!$A$27:$EP$48,16,FALSE))</f>
        <v>0</v>
      </c>
      <c r="BN54" s="706">
        <f>IF(HLOOKUP($AL54&amp;"aa",[11]Feuil1!$A$27:$EP$48,16,FALSE)=FALSE,0,HLOOKUP($AL54&amp;"aa",[11]Feuil1!$A$27:$EP$48,16,FALSE))</f>
        <v>0</v>
      </c>
      <c r="BO54" s="706">
        <f>IF(OR(HLOOKUP($AL54&amp;"a",[11]Feuil1!$A$27:$EP$48,17,FALSE)=FALSE,HLOOKUP($AL54&amp;"a",[11]Feuil1!$A$27:$EP$48,17,FALSE)=""),0,HLOOKUP($AL54&amp;"a",[11]Feuil1!$A$27:$EP$48,17,FALSE))</f>
        <v>0</v>
      </c>
      <c r="BP54" s="706">
        <f>IF(HLOOKUP($AL54&amp;"aa",[11]Feuil1!$A$27:$EP$48,17,FALSE)=FALSE,0,HLOOKUP($AL54&amp;"aa",[11]Feuil1!$A$27:$EP$48,17,FALSE))</f>
        <v>0</v>
      </c>
      <c r="BQ54" s="706">
        <f>IF(OR(HLOOKUP($AL54&amp;"a",[11]Feuil1!$A$27:$EP$48,18,FALSE)=FALSE,HLOOKUP($AL54&amp;"a",[11]Feuil1!$A$27:$EP$48,18,FALSE)=""),0,HLOOKUP($AL54&amp;"a",[11]Feuil1!$A$27:$EP$48,18,FALSE))</f>
        <v>0</v>
      </c>
      <c r="BR54" s="706">
        <f>IF(HLOOKUP($AL54&amp;"aa",[11]Feuil1!$A$27:$EP$48,18,FALSE)=FALSE,0,HLOOKUP($AL54&amp;"aa",[11]Feuil1!$A$27:$EP$48,18,FALSE))</f>
        <v>0</v>
      </c>
      <c r="BS54" s="707">
        <f t="shared" si="29"/>
        <v>5</v>
      </c>
      <c r="BT54" s="707">
        <f t="shared" si="30"/>
        <v>5.0625</v>
      </c>
      <c r="BU54" s="707">
        <f t="shared" si="31"/>
        <v>5.0555555555555554</v>
      </c>
      <c r="BV54" s="561"/>
      <c r="BW54" s="561"/>
      <c r="BX54" t="str">
        <f t="shared" si="46"/>
        <v/>
      </c>
      <c r="BY54"/>
      <c r="BZ54"/>
      <c r="CA54"/>
      <c r="CB54"/>
      <c r="CC54"/>
      <c r="CD54"/>
      <c r="CE54" s="561"/>
      <c r="CF54" s="561"/>
      <c r="CG54" s="561"/>
      <c r="CH54" s="561"/>
      <c r="CI54" s="714"/>
      <c r="CK54" s="715">
        <f>MAX(CM54:CU54)</f>
        <v>16</v>
      </c>
      <c r="CL54" s="591">
        <f>IF(D54=C54,0,IF(D54&lt;C54,1,2))</f>
        <v>2</v>
      </c>
      <c r="CM54" s="716">
        <f t="shared" si="45"/>
        <v>-2.4099999999975807E-2</v>
      </c>
      <c r="CN54" s="716">
        <f t="shared" si="45"/>
        <v>-11</v>
      </c>
      <c r="CO54" s="716">
        <f t="shared" si="45"/>
        <v>-5</v>
      </c>
      <c r="CP54" s="716">
        <f t="shared" si="45"/>
        <v>16</v>
      </c>
      <c r="CQ54" s="716">
        <f t="shared" si="45"/>
        <v>0</v>
      </c>
      <c r="CR54" s="716">
        <f t="shared" si="45"/>
        <v>0</v>
      </c>
      <c r="CS54" s="716">
        <f t="shared" si="45"/>
        <v>-21</v>
      </c>
      <c r="CT54" s="716">
        <f t="shared" si="45"/>
        <v>0</v>
      </c>
      <c r="CU54" s="716">
        <f t="shared" si="45"/>
        <v>0</v>
      </c>
      <c r="CV54" s="717" t="str">
        <f t="shared" si="37"/>
        <v>faux</v>
      </c>
      <c r="CW54" s="718">
        <f>IF(E54=0,"",VLOOKUP(B54,[10]liste!AU:BD,10,FALSE))</f>
        <v>1</v>
      </c>
      <c r="CX54" s="719">
        <f t="shared" si="19"/>
        <v>479</v>
      </c>
      <c r="CY54" s="720" t="str">
        <f t="shared" si="38"/>
        <v>NC</v>
      </c>
      <c r="CZ54" s="789"/>
      <c r="DA54" s="789"/>
      <c r="DB54" s="789"/>
      <c r="DC54" s="722" t="str">
        <f t="shared" ca="1" si="20"/>
        <v/>
      </c>
      <c r="DE54" s="723" t="str">
        <f t="shared" si="21"/>
        <v/>
      </c>
      <c r="DF54" s="723" t="str">
        <f t="shared" si="22"/>
        <v/>
      </c>
      <c r="DG54" s="697" t="str">
        <f t="shared" si="23"/>
        <v>Ayoul-Bellot Thais</v>
      </c>
      <c r="DH54" s="724">
        <f t="shared" si="24"/>
        <v>1</v>
      </c>
      <c r="DI54" s="724">
        <f t="shared" si="39"/>
        <v>1</v>
      </c>
      <c r="DJ54" s="719">
        <f t="shared" si="25"/>
        <v>500</v>
      </c>
      <c r="DK54" s="719">
        <f t="shared" si="26"/>
        <v>500.02409999999998</v>
      </c>
      <c r="DL54" s="719">
        <f t="shared" si="40"/>
        <v>479</v>
      </c>
      <c r="DM54" s="789"/>
      <c r="DN54" s="789"/>
      <c r="DO54" s="789"/>
      <c r="DP54" s="720">
        <f t="shared" si="41"/>
        <v>5</v>
      </c>
      <c r="DQ54" s="591">
        <f ca="1">VLOOKUP(DG54,[10]résultats!$A$2:$DE$70,109,FALSE)</f>
        <v>2</v>
      </c>
      <c r="DR54" s="591">
        <f ca="1">VLOOKUP(DG54,[10]résultats!$A$2:$DG$70,111,FALSE)</f>
        <v>18</v>
      </c>
      <c r="DT54" s="591">
        <f t="shared" si="42"/>
        <v>38</v>
      </c>
      <c r="DU54" s="591">
        <f t="shared" si="43"/>
        <v>40</v>
      </c>
    </row>
    <row r="55" spans="1:125" s="554" customFormat="1" ht="21">
      <c r="A55" s="308">
        <f t="shared" si="9"/>
        <v>38</v>
      </c>
      <c r="B55" s="297" t="str">
        <f>IF(E55=0,"",VLOOKUP(E55,[10]liste!AM:AN,2,FALSE))</f>
        <v>Ravel Serge</v>
      </c>
      <c r="C55" s="762" t="str">
        <f>IF(E55=0,"",VLOOKUP(B55,[10]liste!AN:AP,3,FALSE))</f>
        <v>NC</v>
      </c>
      <c r="D55" s="691">
        <f t="shared" si="10"/>
        <v>5</v>
      </c>
      <c r="E55" s="692">
        <f>LARGE([10]liste!AM:AM,40)</f>
        <v>499.84199999999998</v>
      </c>
      <c r="F55" s="693">
        <v>500</v>
      </c>
      <c r="G55" s="693">
        <v>500</v>
      </c>
      <c r="H55" s="693">
        <v>500.1</v>
      </c>
      <c r="I55" s="692">
        <v>500</v>
      </c>
      <c r="J55" s="693">
        <v>491</v>
      </c>
      <c r="K55" s="693">
        <v>480</v>
      </c>
      <c r="L55" s="693">
        <v>479</v>
      </c>
      <c r="M55" s="692">
        <v>503</v>
      </c>
      <c r="N55" s="692">
        <v>503</v>
      </c>
      <c r="O55" s="694"/>
      <c r="P55" s="695">
        <f t="shared" ca="1" si="11"/>
        <v>0</v>
      </c>
      <c r="Q55" s="170">
        <f>SUM(CM55:CU55)</f>
        <v>3.1580000000000155</v>
      </c>
      <c r="R55" s="696">
        <f ca="1">IF(U55&lt;MAX(U$16:U$81)/6.2,"NS",IF(B55="",0,VLOOKUP(B55,[10]résultats!AX:DH,63,FALSE)))</f>
        <v>0.27784364628483782</v>
      </c>
      <c r="S55" s="763" t="str">
        <f t="shared" si="13"/>
        <v>Ravel Serge</v>
      </c>
      <c r="T55" s="171">
        <f t="shared" ca="1" si="14"/>
        <v>5</v>
      </c>
      <c r="U55" s="172">
        <f t="shared" ca="1" si="14"/>
        <v>18</v>
      </c>
      <c r="V55" s="770">
        <f ca="1">IF(B55="",0,HLOOKUP(B55&amp;"a",[11]Feuil1!$A$27:$FX$48,20,FALSE)+RAND()*0.0001)</f>
        <v>1.0000169278051751</v>
      </c>
      <c r="W55" s="771">
        <f ca="1">IF(B55="",0,HLOOKUP(B55&amp;"a",[11]Feuil1!$A$27:$FX$48,21,FALSE))+RAND()*0.0001</f>
        <v>7.1436127208374028E-5</v>
      </c>
      <c r="X55" s="772">
        <f>IF(AK55=0,"",ROUND(BU55*100+50,0))</f>
        <v>583</v>
      </c>
      <c r="Y55" s="701">
        <f t="shared" si="15"/>
        <v>503</v>
      </c>
      <c r="Z55" s="792">
        <v>5</v>
      </c>
      <c r="AA55" s="791" t="str">
        <f ca="1">'[10] joueur de l''année'!AA36</f>
        <v>Cojean Gwendal</v>
      </c>
      <c r="AB55" s="581"/>
      <c r="AC55" s="581"/>
      <c r="AD55" s="639"/>
      <c r="AE55" s="639"/>
      <c r="AF55" s="639"/>
      <c r="AG55" s="581"/>
      <c r="AH55" s="581"/>
      <c r="AI55" s="581"/>
      <c r="AJ55" s="677"/>
      <c r="AK55" s="677">
        <f t="shared" si="28"/>
        <v>12</v>
      </c>
      <c r="AL55" s="705" t="str">
        <f t="shared" si="16"/>
        <v>Ravel Serge</v>
      </c>
      <c r="AM55" s="706">
        <f>IF(OR(HLOOKUP($AL55&amp;"a",[11]Feuil1!$A$27:$EP$48,3,FALSE)=FALSE,HLOOKUP($AL55&amp;"a",[11]Feuil1!$A$27:$EP$48,3,FALSE)=""),0,HLOOKUP($AL55&amp;"a",[11]Feuil1!$A$27:$EP$48,3,FALSE))</f>
        <v>4</v>
      </c>
      <c r="AN55" s="706">
        <f>IF(HLOOKUP($AL55&amp;"aa",[11]Feuil1!$A$27:$EP$48,3,FALSE)=FALSE,0,HLOOKUP($AL55&amp;"aa",[11]Feuil1!$A$27:$EP$48,3,FALSE))</f>
        <v>5</v>
      </c>
      <c r="AO55" s="706">
        <f>IF(OR(HLOOKUP($AL55&amp;"a",[11]Feuil1!$A$27:$EP$48,4,FALSE)=FALSE,HLOOKUP($AL55&amp;"a",[11]Feuil1!$A$27:$EP$48,4,FALSE)=""),0,HLOOKUP($AL55&amp;"a",[11]Feuil1!$A$27:$EP$48,4,FALSE))</f>
        <v>0</v>
      </c>
      <c r="AP55" s="706">
        <f>IF(HLOOKUP($AL55&amp;"aa",[11]Feuil1!$A$27:$EP$48,4,FALSE)=FALSE,0,HLOOKUP($AL55&amp;"aa",[11]Feuil1!$A$27:$EP$48,4,FALSE))</f>
        <v>2</v>
      </c>
      <c r="AQ55" s="706">
        <f>IF(OR(HLOOKUP($AL55&amp;"a",[11]Feuil1!$A$27:$EP$48,5,FALSE)=FALSE,HLOOKUP($AL55&amp;"a",[11]Feuil1!$A$27:$EP$48,5,FALSE)=""),0,HLOOKUP($AL55&amp;"a",[11]Feuil1!$A$27:$EP$48,5,FALSE))</f>
        <v>0</v>
      </c>
      <c r="AR55" s="706">
        <f>IF(HLOOKUP($AL55&amp;"aa",[11]Feuil1!$A$27:$EP$48,5,FALSE)=FALSE,0,HLOOKUP($AL55&amp;"aa",[11]Feuil1!$A$27:$EP$48,5,FALSE))</f>
        <v>1</v>
      </c>
      <c r="AS55" s="706">
        <f>IF(OR(HLOOKUP($AL55&amp;"a",[11]Feuil1!$A$27:$EP$48,6,FALSE)=FALSE,HLOOKUP($AL55&amp;"a",[11]Feuil1!$A$27:$EP$48,6,FALSE)=""),0,HLOOKUP($AL55&amp;"a",[11]Feuil1!$A$27:$EP$48,6,FALSE))</f>
        <v>0</v>
      </c>
      <c r="AT55" s="706">
        <f>IF(HLOOKUP($AL55&amp;"aa",[11]Feuil1!$A$27:$EP$48,6,FALSE)=FALSE,0,HLOOKUP($AL55&amp;"aa",[11]Feuil1!$A$27:$EP$48,6,FALSE))</f>
        <v>0</v>
      </c>
      <c r="AU55" s="706">
        <f>IF(OR(HLOOKUP($AL55&amp;"a",[11]Feuil1!$A$27:$EP$48,7,FALSE)=FALSE,HLOOKUP($AL55&amp;"a",[11]Feuil1!$A$27:$EP$48,7,FALSE)=""),0,HLOOKUP($AL55&amp;"a",[11]Feuil1!$A$27:$EP$48,7,FALSE))</f>
        <v>0</v>
      </c>
      <c r="AV55" s="706">
        <f>IF(HLOOKUP($AL55&amp;"aa",[11]Feuil1!$A$27:$EP$48,7,FALSE)=FALSE,0,HLOOKUP($AL55&amp;"aa",[11]Feuil1!$A$27:$EP$48,7,FALSE))</f>
        <v>0</v>
      </c>
      <c r="AW55" s="706">
        <f>IF(OR(HLOOKUP($AL55&amp;"a",[11]Feuil1!$A$27:$EP$48,8,FALSE)=FALSE,HLOOKUP($AL55&amp;"a",[11]Feuil1!$A$27:$EP$48,8,FALSE)=""),0,HLOOKUP($AL55&amp;"a",[11]Feuil1!$A$27:$EP$48,8,FALSE))</f>
        <v>0</v>
      </c>
      <c r="AX55" s="706">
        <f>IF(HLOOKUP($AL55&amp;"aa",[11]Feuil1!$A$27:$EP$48,8,FALSE)=FALSE,0,HLOOKUP($AL55&amp;"aa",[11]Feuil1!$A$27:$EP$48,8,FALSE))</f>
        <v>0</v>
      </c>
      <c r="AY55" s="706">
        <f>IF(OR(HLOOKUP($AL55&amp;"a",[11]Feuil1!$A$27:$EP$48,9,FALSE)=FALSE,HLOOKUP($AL55&amp;"a",[11]Feuil1!$A$27:$EP$48,9,FALSE)=""),0,HLOOKUP($AL55&amp;"a",[11]Feuil1!$A$27:$EP$48,9,FALSE))</f>
        <v>0</v>
      </c>
      <c r="AZ55" s="706">
        <f>IF(HLOOKUP($AL55&amp;"aa",[11]Feuil1!$A$27:$EP$48,9,FALSE)=FALSE,0,HLOOKUP($AL55&amp;"aa",[11]Feuil1!$A$27:$EP$48,9,FALSE))</f>
        <v>0</v>
      </c>
      <c r="BA55" s="706">
        <f>IF(OR(HLOOKUP($AL55&amp;"a",[11]Feuil1!$A$27:$EP$48,10,FALSE)=FALSE,HLOOKUP($AL55&amp;"a",[11]Feuil1!$A$27:$EP$48,10,FALSE)=""),0,HLOOKUP($AL55&amp;"a",[11]Feuil1!$A$27:$EP$48,10,FALSE))</f>
        <v>0</v>
      </c>
      <c r="BB55" s="706">
        <f>IF(HLOOKUP($AL55&amp;"aa",[11]Feuil1!$A$27:$EP$48,10,FALSE)=FALSE,0,HLOOKUP($AL55&amp;"aa",[11]Feuil1!$A$27:$EP$48,10,FALSE))</f>
        <v>0</v>
      </c>
      <c r="BC55" s="706">
        <f>IF(OR(HLOOKUP($AL55&amp;"a",[11]Feuil1!$A$27:$EP$48,11,FALSE)=FALSE,HLOOKUP($AL55&amp;"a",[11]Feuil1!$A$27:$EP$48,11,FALSE)=""),0,HLOOKUP($AL55&amp;"a",[11]Feuil1!$A$27:$EP$48,11,FALSE))</f>
        <v>0</v>
      </c>
      <c r="BD55" s="706">
        <f>IF(HLOOKUP($AL55&amp;"aa",[11]Feuil1!$A$27:$EP$48,11,FALSE)=FALSE,0,HLOOKUP($AL55&amp;"aa",[11]Feuil1!$A$27:$EP$48,11,FALSE))</f>
        <v>0</v>
      </c>
      <c r="BE55" s="706">
        <f>IF(OR(HLOOKUP($AL55&amp;"a",[11]Feuil1!$A$27:$EP$48,12,FALSE)=FALSE,HLOOKUP($AL55&amp;"a",[11]Feuil1!$A$27:$EP$48,12,FALSE)=""),0,HLOOKUP($AL55&amp;"a",[11]Feuil1!$A$27:$EP$48,12,FALSE))</f>
        <v>0</v>
      </c>
      <c r="BF55" s="706">
        <f>IF(HLOOKUP($AL55&amp;"aa",[11]Feuil1!$A$27:$EP$48,12,FALSE)=FALSE,0,HLOOKUP($AL55&amp;"aa",[11]Feuil1!$A$27:$EP$48,12,FALSE))</f>
        <v>0</v>
      </c>
      <c r="BG55" s="706">
        <f>IF(OR(HLOOKUP($AL55&amp;"a",[11]Feuil1!$A$27:$EP$48,13,FALSE)=FALSE,HLOOKUP($AL55&amp;"a",[11]Feuil1!$A$27:$EP$48,13,FALSE)=""),0,HLOOKUP($AL55&amp;"a",[11]Feuil1!$A$27:$EP$48,13,FALSE))</f>
        <v>0</v>
      </c>
      <c r="BH55" s="706">
        <f>IF(HLOOKUP($AL55&amp;"aa",[11]Feuil1!$A$27:$EP$48,13,FALSE)=FALSE,0,HLOOKUP($AL55&amp;"aa",[11]Feuil1!$A$27:$EP$48,13,FALSE))</f>
        <v>0</v>
      </c>
      <c r="BI55" s="706">
        <f>IF(OR(HLOOKUP($AL55&amp;"a",[11]Feuil1!$A$27:$EP$48,14,FALSE)=FALSE,HLOOKUP($AL55&amp;"a",[11]Feuil1!$A$27:$EP$48,14,FALSE)=""),0,HLOOKUP($AL55&amp;"a",[11]Feuil1!$A$27:$EP$48,14,FALSE))</f>
        <v>0</v>
      </c>
      <c r="BJ55" s="706">
        <f>IF(HLOOKUP($AL55&amp;"aa",[11]Feuil1!$A$27:$EP$48,14,FALSE)=FALSE,0,HLOOKUP($AL55&amp;"aa",[11]Feuil1!$A$27:$EP$48,14,FALSE))</f>
        <v>0</v>
      </c>
      <c r="BK55" s="706">
        <f>IF(OR(HLOOKUP($AL55&amp;"a",[11]Feuil1!$A$27:$EP$48,15,FALSE)=FALSE,HLOOKUP($AL55&amp;"a",[11]Feuil1!$A$27:$EP$48,15,FALSE)=""),0,HLOOKUP($AL55&amp;"a",[11]Feuil1!$A$27:$EP$48,15,FALSE))</f>
        <v>0</v>
      </c>
      <c r="BL55" s="706">
        <f>IF(HLOOKUP($AL55&amp;"aa",[11]Feuil1!$A$27:$EP$48,15,FALSE)=FALSE,0,HLOOKUP($AL55&amp;"aa",[11]Feuil1!$A$27:$EP$48,15,FALSE))</f>
        <v>0</v>
      </c>
      <c r="BM55" s="706">
        <f>IF(OR(HLOOKUP($AL55&amp;"a",[11]Feuil1!$A$27:$EP$48,16,FALSE)=FALSE,HLOOKUP($AL55&amp;"a",[11]Feuil1!$A$27:$EP$48,16,FALSE)=""),0,HLOOKUP($AL55&amp;"a",[11]Feuil1!$A$27:$EP$48,16,FALSE))</f>
        <v>0</v>
      </c>
      <c r="BN55" s="706">
        <f>IF(HLOOKUP($AL55&amp;"aa",[11]Feuil1!$A$27:$EP$48,16,FALSE)=FALSE,0,HLOOKUP($AL55&amp;"aa",[11]Feuil1!$A$27:$EP$48,16,FALSE))</f>
        <v>0</v>
      </c>
      <c r="BO55" s="706">
        <f>IF(OR(HLOOKUP($AL55&amp;"a",[11]Feuil1!$A$27:$EP$48,17,FALSE)=FALSE,HLOOKUP($AL55&amp;"a",[11]Feuil1!$A$27:$EP$48,17,FALSE)=""),0,HLOOKUP($AL55&amp;"a",[11]Feuil1!$A$27:$EP$48,17,FALSE))</f>
        <v>0</v>
      </c>
      <c r="BP55" s="706">
        <f>IF(HLOOKUP($AL55&amp;"aa",[11]Feuil1!$A$27:$EP$48,17,FALSE)=FALSE,0,HLOOKUP($AL55&amp;"aa",[11]Feuil1!$A$27:$EP$48,17,FALSE))</f>
        <v>0</v>
      </c>
      <c r="BQ55" s="706">
        <f>IF(OR(HLOOKUP($AL55&amp;"a",[11]Feuil1!$A$27:$EP$48,18,FALSE)=FALSE,HLOOKUP($AL55&amp;"a",[11]Feuil1!$A$27:$EP$48,18,FALSE)=""),0,HLOOKUP($AL55&amp;"a",[11]Feuil1!$A$27:$EP$48,18,FALSE))</f>
        <v>0</v>
      </c>
      <c r="BR55" s="706">
        <f>IF(HLOOKUP($AL55&amp;"aa",[11]Feuil1!$A$27:$EP$48,18,FALSE)=FALSE,0,HLOOKUP($AL55&amp;"aa",[11]Feuil1!$A$27:$EP$48,18,FALSE))</f>
        <v>0</v>
      </c>
      <c r="BS55" s="707">
        <f t="shared" si="29"/>
        <v>5</v>
      </c>
      <c r="BT55" s="707">
        <f t="shared" si="30"/>
        <v>5.5</v>
      </c>
      <c r="BU55" s="707">
        <f t="shared" si="31"/>
        <v>5.333333333333333</v>
      </c>
      <c r="BV55" s="561"/>
      <c r="BW55" s="561"/>
      <c r="BX55" t="str">
        <f t="shared" si="46"/>
        <v/>
      </c>
      <c r="BY55"/>
      <c r="BZ55"/>
      <c r="CA55"/>
      <c r="CB55"/>
      <c r="CC55"/>
      <c r="CD55"/>
      <c r="CE55" s="561"/>
      <c r="CF55" s="561"/>
      <c r="CG55" s="561"/>
      <c r="CH55" s="561"/>
      <c r="CI55" s="714"/>
      <c r="CK55" s="715">
        <f>MAX(CM55:CU55)</f>
        <v>24</v>
      </c>
      <c r="CL55" s="591">
        <f>IF(D55=C55,0,IF(D55&lt;C55,1,2))</f>
        <v>1</v>
      </c>
      <c r="CM55" s="716">
        <f t="shared" si="45"/>
        <v>0.15800000000001546</v>
      </c>
      <c r="CN55" s="716">
        <f t="shared" si="45"/>
        <v>0</v>
      </c>
      <c r="CO55" s="716">
        <f t="shared" si="45"/>
        <v>0.10000000000002274</v>
      </c>
      <c r="CP55" s="716">
        <f t="shared" si="45"/>
        <v>-0.10000000000002274</v>
      </c>
      <c r="CQ55" s="716">
        <f t="shared" si="45"/>
        <v>-9</v>
      </c>
      <c r="CR55" s="716">
        <f t="shared" si="45"/>
        <v>-11</v>
      </c>
      <c r="CS55" s="716">
        <f t="shared" si="45"/>
        <v>-1</v>
      </c>
      <c r="CT55" s="716">
        <f t="shared" si="45"/>
        <v>24</v>
      </c>
      <c r="CU55" s="716">
        <f t="shared" si="45"/>
        <v>0</v>
      </c>
      <c r="CV55" s="717" t="str">
        <f>IF(CN55="",CM55,IF(CO55="",CN55,IF(CP55="",CO55,IF(CQ55="",CP55,IF(CR55="",CQ55,IF(CS55="",CR55,IF(CT55="",CS55,"faux")))))))</f>
        <v>faux</v>
      </c>
      <c r="CW55" s="718">
        <f>IF(E55=0,"",VLOOKUP(B55,[10]liste!AU:BD,10,FALSE))</f>
        <v>2</v>
      </c>
      <c r="CX55" s="719">
        <f>IF(E55="","",E55+Q55)</f>
        <v>503</v>
      </c>
      <c r="CY55" s="720">
        <f>IF(CX55&lt;500,"NC",ROUNDDOWN(CX55/100,0))</f>
        <v>5</v>
      </c>
      <c r="CZ55" s="789"/>
      <c r="DA55" s="789"/>
      <c r="DB55" s="789"/>
      <c r="DC55" s="722" t="str">
        <f t="shared" ca="1" si="20"/>
        <v>x</v>
      </c>
      <c r="DE55" s="723">
        <f t="shared" si="21"/>
        <v>499.84199999999998</v>
      </c>
      <c r="DF55" s="723">
        <f t="shared" si="22"/>
        <v>503</v>
      </c>
      <c r="DG55" s="697" t="str">
        <f t="shared" si="23"/>
        <v>Ravel Serge</v>
      </c>
      <c r="DH55" s="724">
        <f t="shared" si="24"/>
        <v>4</v>
      </c>
      <c r="DI55" s="724">
        <f t="shared" si="39"/>
        <v>2</v>
      </c>
      <c r="DJ55" s="719">
        <f t="shared" si="25"/>
        <v>500</v>
      </c>
      <c r="DK55" s="719" t="str">
        <f t="shared" si="26"/>
        <v/>
      </c>
      <c r="DL55" s="719" t="str">
        <f t="shared" si="40"/>
        <v/>
      </c>
      <c r="DM55" s="789"/>
      <c r="DN55" s="789"/>
      <c r="DO55" s="789"/>
      <c r="DP55" s="720">
        <f t="shared" si="41"/>
        <v>5</v>
      </c>
      <c r="DQ55" s="591">
        <f ca="1">VLOOKUP(DG55,[10]résultats!$A$2:$DE$70,109,FALSE)</f>
        <v>5</v>
      </c>
      <c r="DR55" s="591">
        <f ca="1">VLOOKUP(DG55,[10]résultats!$A$2:$DG$70,111,FALSE)</f>
        <v>18</v>
      </c>
      <c r="DT55" s="591">
        <f t="shared" si="42"/>
        <v>38</v>
      </c>
      <c r="DU55" s="591">
        <f t="shared" si="43"/>
        <v>38</v>
      </c>
    </row>
    <row r="56" spans="1:125" s="554" customFormat="1" ht="21">
      <c r="A56" s="308">
        <f t="shared" si="9"/>
        <v>41</v>
      </c>
      <c r="B56" s="297" t="str">
        <f>IF(E56=0,"",VLOOKUP(E56,[10]liste!AM:AN,2,FALSE))</f>
        <v>Sail Anthony</v>
      </c>
      <c r="C56" s="762" t="str">
        <f>IF(E56=0,"",VLOOKUP(B56,[10]liste!AN:AP,3,FALSE))</f>
        <v>NC</v>
      </c>
      <c r="D56" s="691" t="str">
        <f t="shared" si="10"/>
        <v>NC</v>
      </c>
      <c r="E56" s="692">
        <f>LARGE([10]liste!AM:AM,41)</f>
        <v>499.83600000000001</v>
      </c>
      <c r="F56" s="693">
        <v>500</v>
      </c>
      <c r="G56" s="693">
        <v>500</v>
      </c>
      <c r="H56" s="693">
        <v>500.01</v>
      </c>
      <c r="I56" s="692">
        <v>500</v>
      </c>
      <c r="J56" s="693">
        <v>487</v>
      </c>
      <c r="K56" s="693">
        <v>477</v>
      </c>
      <c r="L56" s="693">
        <v>474</v>
      </c>
      <c r="M56" s="692">
        <v>478</v>
      </c>
      <c r="N56" s="692">
        <v>478</v>
      </c>
      <c r="O56" s="694"/>
      <c r="P56" s="695">
        <f t="shared" ca="1" si="11"/>
        <v>0</v>
      </c>
      <c r="Q56" s="170">
        <f t="shared" si="12"/>
        <v>-21.836000000000013</v>
      </c>
      <c r="R56" s="696">
        <f ca="1">IF(U56&lt;MAX(U$16:U$81)/6.2,"NS",IF(B56="",0,VLOOKUP(B56,[10]résultats!AX:DH,63,FALSE)))</f>
        <v>0.16667125703441801</v>
      </c>
      <c r="S56" s="763" t="str">
        <f t="shared" si="13"/>
        <v>Sail Anthony</v>
      </c>
      <c r="T56" s="171">
        <f t="shared" ca="1" si="14"/>
        <v>3</v>
      </c>
      <c r="U56" s="172">
        <f t="shared" ca="1" si="14"/>
        <v>18</v>
      </c>
      <c r="V56" s="770">
        <f ca="1">IF(B56="",0,HLOOKUP(B56&amp;"a",[11]Feuil1!$A$27:$FX$48,20,FALSE)+RAND()*0.0001)</f>
        <v>7.2833005914854407E-5</v>
      </c>
      <c r="W56" s="771">
        <f ca="1">IF(B56="",0,HLOOKUP(B56&amp;"a",[11]Feuil1!$A$27:$FX$48,21,FALSE))+RAND()*0.0001</f>
        <v>6.3571568472243486E-5</v>
      </c>
      <c r="X56" s="772">
        <f>IF(AK56=0,"",ROUND(BU56*100+50,0))</f>
        <v>567</v>
      </c>
      <c r="Y56" s="701">
        <f t="shared" si="15"/>
        <v>500.01</v>
      </c>
      <c r="Z56" s="793">
        <f ca="1">SMALL([10]cal.Ph1!F77:F179,1)</f>
        <v>42162.000000908847</v>
      </c>
      <c r="AA56" s="794" t="str">
        <f ca="1">IF(Z56=50000,"",VLOOKUP(Z56,[10]cal.Ph1!$F$74:$I$201,4,FALSE))</f>
        <v>Champ. Bretagne</v>
      </c>
      <c r="AB56" s="794"/>
      <c r="AC56" s="794"/>
      <c r="AD56" s="1179" t="str">
        <f ca="1">VLOOKUP(AA56,[10]cal.Ph1!$I$77:$J$204,2,FALSE)</f>
        <v xml:space="preserve">Morin Léa -  -  -  -  -  -  - </v>
      </c>
      <c r="AE56" s="1179"/>
      <c r="AF56" s="1179"/>
      <c r="AG56" s="1179"/>
      <c r="AH56" s="1179"/>
      <c r="AI56" s="1179"/>
      <c r="AJ56" s="677"/>
      <c r="AK56" s="677">
        <f t="shared" si="28"/>
        <v>12</v>
      </c>
      <c r="AL56" s="705" t="str">
        <f t="shared" si="16"/>
        <v>Sail Anthony</v>
      </c>
      <c r="AM56" s="706">
        <f>IF(OR(HLOOKUP($AL56&amp;"a",[11]Feuil1!$A$27:$EP$48,3,FALSE)=FALSE,HLOOKUP($AL56&amp;"a",[11]Feuil1!$A$27:$EP$48,3,FALSE)=""),0,HLOOKUP($AL56&amp;"a",[11]Feuil1!$A$27:$EP$48,3,FALSE))</f>
        <v>2</v>
      </c>
      <c r="AN56" s="706">
        <f>IF(HLOOKUP($AL56&amp;"aa",[11]Feuil1!$A$27:$EP$48,3,FALSE)=FALSE,0,HLOOKUP($AL56&amp;"aa",[11]Feuil1!$A$27:$EP$48,3,FALSE))</f>
        <v>8</v>
      </c>
      <c r="AO56" s="706">
        <f>IF(OR(HLOOKUP($AL56&amp;"a",[11]Feuil1!$A$27:$EP$48,4,FALSE)=FALSE,HLOOKUP($AL56&amp;"a",[11]Feuil1!$A$27:$EP$48,4,FALSE)=""),0,HLOOKUP($AL56&amp;"a",[11]Feuil1!$A$27:$EP$48,4,FALSE))</f>
        <v>0</v>
      </c>
      <c r="AP56" s="706">
        <f>IF(HLOOKUP($AL56&amp;"aa",[11]Feuil1!$A$27:$EP$48,4,FALSE)=FALSE,0,HLOOKUP($AL56&amp;"aa",[11]Feuil1!$A$27:$EP$48,4,FALSE))</f>
        <v>2</v>
      </c>
      <c r="AQ56" s="706">
        <f>IF(OR(HLOOKUP($AL56&amp;"a",[11]Feuil1!$A$27:$EP$48,5,FALSE)=FALSE,HLOOKUP($AL56&amp;"a",[11]Feuil1!$A$27:$EP$48,5,FALSE)=""),0,HLOOKUP($AL56&amp;"a",[11]Feuil1!$A$27:$EP$48,5,FALSE))</f>
        <v>0</v>
      </c>
      <c r="AR56" s="706">
        <f>IF(HLOOKUP($AL56&amp;"aa",[11]Feuil1!$A$27:$EP$48,5,FALSE)=FALSE,0,HLOOKUP($AL56&amp;"aa",[11]Feuil1!$A$27:$EP$48,5,FALSE))</f>
        <v>0</v>
      </c>
      <c r="AS56" s="706">
        <f>IF(OR(HLOOKUP($AL56&amp;"a",[11]Feuil1!$A$27:$EP$48,6,FALSE)=FALSE,HLOOKUP($AL56&amp;"a",[11]Feuil1!$A$27:$EP$48,6,FALSE)=""),0,HLOOKUP($AL56&amp;"a",[11]Feuil1!$A$27:$EP$48,6,FALSE))</f>
        <v>0</v>
      </c>
      <c r="AT56" s="706">
        <f>IF(HLOOKUP($AL56&amp;"aa",[11]Feuil1!$A$27:$EP$48,6,FALSE)=FALSE,0,HLOOKUP($AL56&amp;"aa",[11]Feuil1!$A$27:$EP$48,6,FALSE))</f>
        <v>0</v>
      </c>
      <c r="AU56" s="706">
        <f>IF(OR(HLOOKUP($AL56&amp;"a",[11]Feuil1!$A$27:$EP$48,7,FALSE)=FALSE,HLOOKUP($AL56&amp;"a",[11]Feuil1!$A$27:$EP$48,7,FALSE)=""),0,HLOOKUP($AL56&amp;"a",[11]Feuil1!$A$27:$EP$48,7,FALSE))</f>
        <v>0</v>
      </c>
      <c r="AV56" s="706">
        <f>IF(HLOOKUP($AL56&amp;"aa",[11]Feuil1!$A$27:$EP$48,7,FALSE)=FALSE,0,HLOOKUP($AL56&amp;"aa",[11]Feuil1!$A$27:$EP$48,7,FALSE))</f>
        <v>0</v>
      </c>
      <c r="AW56" s="706">
        <f>IF(OR(HLOOKUP($AL56&amp;"a",[11]Feuil1!$A$27:$EP$48,8,FALSE)=FALSE,HLOOKUP($AL56&amp;"a",[11]Feuil1!$A$27:$EP$48,8,FALSE)=""),0,HLOOKUP($AL56&amp;"a",[11]Feuil1!$A$27:$EP$48,8,FALSE))</f>
        <v>0</v>
      </c>
      <c r="AX56" s="706">
        <f>IF(HLOOKUP($AL56&amp;"aa",[11]Feuil1!$A$27:$EP$48,8,FALSE)=FALSE,0,HLOOKUP($AL56&amp;"aa",[11]Feuil1!$A$27:$EP$48,8,FALSE))</f>
        <v>0</v>
      </c>
      <c r="AY56" s="706">
        <f>IF(OR(HLOOKUP($AL56&amp;"a",[11]Feuil1!$A$27:$EP$48,9,FALSE)=FALSE,HLOOKUP($AL56&amp;"a",[11]Feuil1!$A$27:$EP$48,9,FALSE)=""),0,HLOOKUP($AL56&amp;"a",[11]Feuil1!$A$27:$EP$48,9,FALSE))</f>
        <v>0</v>
      </c>
      <c r="AZ56" s="706">
        <f>IF(HLOOKUP($AL56&amp;"aa",[11]Feuil1!$A$27:$EP$48,9,FALSE)=FALSE,0,HLOOKUP($AL56&amp;"aa",[11]Feuil1!$A$27:$EP$48,9,FALSE))</f>
        <v>0</v>
      </c>
      <c r="BA56" s="706">
        <f>IF(OR(HLOOKUP($AL56&amp;"a",[11]Feuil1!$A$27:$EP$48,10,FALSE)=FALSE,HLOOKUP($AL56&amp;"a",[11]Feuil1!$A$27:$EP$48,10,FALSE)=""),0,HLOOKUP($AL56&amp;"a",[11]Feuil1!$A$27:$EP$48,10,FALSE))</f>
        <v>0</v>
      </c>
      <c r="BB56" s="706">
        <f>IF(HLOOKUP($AL56&amp;"aa",[11]Feuil1!$A$27:$EP$48,10,FALSE)=FALSE,0,HLOOKUP($AL56&amp;"aa",[11]Feuil1!$A$27:$EP$48,10,FALSE))</f>
        <v>0</v>
      </c>
      <c r="BC56" s="706">
        <f>IF(OR(HLOOKUP($AL56&amp;"a",[11]Feuil1!$A$27:$EP$48,11,FALSE)=FALSE,HLOOKUP($AL56&amp;"a",[11]Feuil1!$A$27:$EP$48,11,FALSE)=""),0,HLOOKUP($AL56&amp;"a",[11]Feuil1!$A$27:$EP$48,11,FALSE))</f>
        <v>0</v>
      </c>
      <c r="BD56" s="706">
        <f>IF(HLOOKUP($AL56&amp;"aa",[11]Feuil1!$A$27:$EP$48,11,FALSE)=FALSE,0,HLOOKUP($AL56&amp;"aa",[11]Feuil1!$A$27:$EP$48,11,FALSE))</f>
        <v>0</v>
      </c>
      <c r="BE56" s="706">
        <f>IF(OR(HLOOKUP($AL56&amp;"a",[11]Feuil1!$A$27:$EP$48,12,FALSE)=FALSE,HLOOKUP($AL56&amp;"a",[11]Feuil1!$A$27:$EP$48,12,FALSE)=""),0,HLOOKUP($AL56&amp;"a",[11]Feuil1!$A$27:$EP$48,12,FALSE))</f>
        <v>0</v>
      </c>
      <c r="BF56" s="706">
        <f>IF(HLOOKUP($AL56&amp;"aa",[11]Feuil1!$A$27:$EP$48,12,FALSE)=FALSE,0,HLOOKUP($AL56&amp;"aa",[11]Feuil1!$A$27:$EP$48,12,FALSE))</f>
        <v>0</v>
      </c>
      <c r="BG56" s="706">
        <f>IF(OR(HLOOKUP($AL56&amp;"a",[11]Feuil1!$A$27:$EP$48,13,FALSE)=FALSE,HLOOKUP($AL56&amp;"a",[11]Feuil1!$A$27:$EP$48,13,FALSE)=""),0,HLOOKUP($AL56&amp;"a",[11]Feuil1!$A$27:$EP$48,13,FALSE))</f>
        <v>0</v>
      </c>
      <c r="BH56" s="706">
        <f>IF(HLOOKUP($AL56&amp;"aa",[11]Feuil1!$A$27:$EP$48,13,FALSE)=FALSE,0,HLOOKUP($AL56&amp;"aa",[11]Feuil1!$A$27:$EP$48,13,FALSE))</f>
        <v>0</v>
      </c>
      <c r="BI56" s="706">
        <f>IF(OR(HLOOKUP($AL56&amp;"a",[11]Feuil1!$A$27:$EP$48,14,FALSE)=FALSE,HLOOKUP($AL56&amp;"a",[11]Feuil1!$A$27:$EP$48,14,FALSE)=""),0,HLOOKUP($AL56&amp;"a",[11]Feuil1!$A$27:$EP$48,14,FALSE))</f>
        <v>0</v>
      </c>
      <c r="BJ56" s="706">
        <f>IF(HLOOKUP($AL56&amp;"aa",[11]Feuil1!$A$27:$EP$48,14,FALSE)=FALSE,0,HLOOKUP($AL56&amp;"aa",[11]Feuil1!$A$27:$EP$48,14,FALSE))</f>
        <v>0</v>
      </c>
      <c r="BK56" s="706">
        <f>IF(OR(HLOOKUP($AL56&amp;"a",[11]Feuil1!$A$27:$EP$48,15,FALSE)=FALSE,HLOOKUP($AL56&amp;"a",[11]Feuil1!$A$27:$EP$48,15,FALSE)=""),0,HLOOKUP($AL56&amp;"a",[11]Feuil1!$A$27:$EP$48,15,FALSE))</f>
        <v>0</v>
      </c>
      <c r="BL56" s="706">
        <f>IF(HLOOKUP($AL56&amp;"aa",[11]Feuil1!$A$27:$EP$48,15,FALSE)=FALSE,0,HLOOKUP($AL56&amp;"aa",[11]Feuil1!$A$27:$EP$48,15,FALSE))</f>
        <v>0</v>
      </c>
      <c r="BM56" s="706">
        <f>IF(OR(HLOOKUP($AL56&amp;"a",[11]Feuil1!$A$27:$EP$48,16,FALSE)=FALSE,HLOOKUP($AL56&amp;"a",[11]Feuil1!$A$27:$EP$48,16,FALSE)=""),0,HLOOKUP($AL56&amp;"a",[11]Feuil1!$A$27:$EP$48,16,FALSE))</f>
        <v>0</v>
      </c>
      <c r="BN56" s="706">
        <f>IF(HLOOKUP($AL56&amp;"aa",[11]Feuil1!$A$27:$EP$48,16,FALSE)=FALSE,0,HLOOKUP($AL56&amp;"aa",[11]Feuil1!$A$27:$EP$48,16,FALSE))</f>
        <v>0</v>
      </c>
      <c r="BO56" s="706">
        <f>IF(OR(HLOOKUP($AL56&amp;"a",[11]Feuil1!$A$27:$EP$48,17,FALSE)=FALSE,HLOOKUP($AL56&amp;"a",[11]Feuil1!$A$27:$EP$48,17,FALSE)=""),0,HLOOKUP($AL56&amp;"a",[11]Feuil1!$A$27:$EP$48,17,FALSE))</f>
        <v>0</v>
      </c>
      <c r="BP56" s="706">
        <f>IF(HLOOKUP($AL56&amp;"aa",[11]Feuil1!$A$27:$EP$48,17,FALSE)=FALSE,0,HLOOKUP($AL56&amp;"aa",[11]Feuil1!$A$27:$EP$48,17,FALSE))</f>
        <v>0</v>
      </c>
      <c r="BQ56" s="706">
        <f>IF(OR(HLOOKUP($AL56&amp;"a",[11]Feuil1!$A$27:$EP$48,18,FALSE)=FALSE,HLOOKUP($AL56&amp;"a",[11]Feuil1!$A$27:$EP$48,18,FALSE)=""),0,HLOOKUP($AL56&amp;"a",[11]Feuil1!$A$27:$EP$48,18,FALSE))</f>
        <v>0</v>
      </c>
      <c r="BR56" s="706">
        <f>IF(HLOOKUP($AL56&amp;"aa",[11]Feuil1!$A$27:$EP$48,18,FALSE)=FALSE,0,HLOOKUP($AL56&amp;"aa",[11]Feuil1!$A$27:$EP$48,18,FALSE))</f>
        <v>0</v>
      </c>
      <c r="BS56" s="707">
        <f t="shared" si="29"/>
        <v>5</v>
      </c>
      <c r="BT56" s="707">
        <f t="shared" si="30"/>
        <v>5.2</v>
      </c>
      <c r="BU56" s="707">
        <f t="shared" si="31"/>
        <v>5.166666666666667</v>
      </c>
      <c r="BV56" s="561"/>
      <c r="BW56" s="561"/>
      <c r="BX56" t="str">
        <f t="shared" si="46"/>
        <v/>
      </c>
      <c r="BY56"/>
      <c r="BZ56"/>
      <c r="CA56"/>
      <c r="CB56"/>
      <c r="CC56"/>
      <c r="CD56"/>
      <c r="CE56" s="561"/>
      <c r="CF56" s="561"/>
      <c r="CG56" s="561"/>
      <c r="CH56" s="561"/>
      <c r="CI56" s="714"/>
      <c r="CK56" s="715">
        <f>MAX(CM56:CU56)</f>
        <v>4</v>
      </c>
      <c r="CL56" s="591">
        <f>IF(D56=C56,0,IF(D56&lt;C56,1,2))</f>
        <v>0</v>
      </c>
      <c r="CM56" s="716">
        <f>IF(F56="","",F56-E56)</f>
        <v>0.16399999999998727</v>
      </c>
      <c r="CN56" s="716">
        <f>IF(G56="","",G56-F56)</f>
        <v>0</v>
      </c>
      <c r="CO56" s="716">
        <f t="shared" si="45"/>
        <v>9.9999999999909051E-3</v>
      </c>
      <c r="CP56" s="716">
        <f t="shared" si="45"/>
        <v>-9.9999999999909051E-3</v>
      </c>
      <c r="CQ56" s="716">
        <f t="shared" si="45"/>
        <v>-13</v>
      </c>
      <c r="CR56" s="716">
        <f t="shared" si="45"/>
        <v>-10</v>
      </c>
      <c r="CS56" s="716">
        <f t="shared" si="45"/>
        <v>-3</v>
      </c>
      <c r="CT56" s="716">
        <f t="shared" si="45"/>
        <v>4</v>
      </c>
      <c r="CU56" s="716">
        <f t="shared" si="45"/>
        <v>0</v>
      </c>
      <c r="CV56" s="717" t="str">
        <f t="shared" si="37"/>
        <v>faux</v>
      </c>
      <c r="CW56" s="718">
        <f>IF(E56=0,"",VLOOKUP(B56,[10]liste!AU:BD,10,FALSE))</f>
        <v>2</v>
      </c>
      <c r="CX56" s="719">
        <f t="shared" si="19"/>
        <v>478</v>
      </c>
      <c r="CY56" s="720" t="str">
        <f t="shared" si="38"/>
        <v>NC</v>
      </c>
      <c r="CZ56" s="789"/>
      <c r="DA56" s="789"/>
      <c r="DB56" s="789"/>
      <c r="DC56" s="722" t="str">
        <f t="shared" ca="1" si="20"/>
        <v/>
      </c>
      <c r="DE56" s="723">
        <f t="shared" si="21"/>
        <v>499.83600000000001</v>
      </c>
      <c r="DF56" s="723">
        <f t="shared" si="22"/>
        <v>478</v>
      </c>
      <c r="DG56" s="697" t="str">
        <f t="shared" si="23"/>
        <v>Sail Anthony</v>
      </c>
      <c r="DH56" s="724">
        <f t="shared" si="24"/>
        <v>2</v>
      </c>
      <c r="DI56" s="724">
        <f t="shared" si="39"/>
        <v>2</v>
      </c>
      <c r="DJ56" s="719">
        <f t="shared" si="25"/>
        <v>500</v>
      </c>
      <c r="DK56" s="719" t="str">
        <f t="shared" si="26"/>
        <v/>
      </c>
      <c r="DL56" s="719" t="str">
        <f t="shared" si="40"/>
        <v/>
      </c>
      <c r="DM56" s="789"/>
      <c r="DN56" s="789"/>
      <c r="DO56" s="789"/>
      <c r="DP56" s="720">
        <f t="shared" si="41"/>
        <v>5</v>
      </c>
      <c r="DQ56" s="591">
        <f ca="1">VLOOKUP(DG56,[10]résultats!$A$2:$DE$70,109,FALSE)</f>
        <v>3</v>
      </c>
      <c r="DR56" s="591">
        <f ca="1">VLOOKUP(DG56,[10]résultats!$A$2:$DG$70,111,FALSE)</f>
        <v>18</v>
      </c>
      <c r="DT56" s="591">
        <f t="shared" si="42"/>
        <v>38</v>
      </c>
      <c r="DU56" s="591">
        <f t="shared" si="43"/>
        <v>41</v>
      </c>
    </row>
    <row r="57" spans="1:125" s="554" customFormat="1" ht="21">
      <c r="A57" s="308">
        <f t="shared" si="9"/>
        <v>42</v>
      </c>
      <c r="B57" s="297" t="str">
        <f>IF(E57=0,"",VLOOKUP(E57,[10]liste!AM:AN,2,FALSE))</f>
        <v>Cojean Gwendal</v>
      </c>
      <c r="C57" s="298" t="str">
        <f>IF(E57=0,"",VLOOKUP(B57,[10]liste!AN:AP,3,FALSE))</f>
        <v>NC</v>
      </c>
      <c r="D57" s="691" t="str">
        <f t="shared" si="10"/>
        <v>NC</v>
      </c>
      <c r="E57" s="795">
        <f>LARGE([10]liste!AM:AM,42)</f>
        <v>499.59399999999999</v>
      </c>
      <c r="F57" s="796">
        <v>500</v>
      </c>
      <c r="G57" s="796">
        <v>500</v>
      </c>
      <c r="H57" s="693">
        <v>500</v>
      </c>
      <c r="I57" s="692">
        <v>499.59399999999999</v>
      </c>
      <c r="J57" s="693">
        <v>500</v>
      </c>
      <c r="K57" s="693">
        <v>500.2</v>
      </c>
      <c r="L57" s="693">
        <v>479</v>
      </c>
      <c r="M57" s="797">
        <v>473</v>
      </c>
      <c r="N57" s="694">
        <v>473</v>
      </c>
      <c r="O57" s="694"/>
      <c r="P57" s="695">
        <f t="shared" ca="1" si="11"/>
        <v>0</v>
      </c>
      <c r="Q57" s="170">
        <f t="shared" si="12"/>
        <v>-26.593999999999994</v>
      </c>
      <c r="R57" s="696" t="str">
        <f ca="1">IF(U57&lt;MAX(U$16:U$81)/6.2,"NS",IF(B57="",0,VLOOKUP(B57,[10]résultats!AX:DH,63,FALSE)))</f>
        <v>NS</v>
      </c>
      <c r="S57" s="697" t="str">
        <f t="shared" si="13"/>
        <v>Cojean Gwendal</v>
      </c>
      <c r="T57" s="171">
        <f t="shared" ca="1" si="14"/>
        <v>2</v>
      </c>
      <c r="U57" s="172">
        <f t="shared" ca="1" si="14"/>
        <v>14</v>
      </c>
      <c r="V57" s="292"/>
      <c r="W57" s="293"/>
      <c r="X57" s="772">
        <f>IF(AK57=0,"",ROUND(BU57*100+50,0))</f>
        <v>593</v>
      </c>
      <c r="Y57" s="798">
        <f t="shared" si="15"/>
        <v>500.2</v>
      </c>
      <c r="Z57" s="793">
        <f ca="1">SMALL([10]cal.Ph1!F77:F179,2)</f>
        <v>42181.000000975626</v>
      </c>
      <c r="AA57" s="794" t="str">
        <f ca="1">IF(Z57=50000,"",VLOOKUP(Z57,[10]cal.Ph1!$F$74:$I$201,4,FALSE))</f>
        <v>AG MTT</v>
      </c>
      <c r="AB57" s="794"/>
      <c r="AC57" s="794"/>
      <c r="AD57" s="1179" t="str">
        <f ca="1">VLOOKUP(AA57,[10]cal.Ph1!$I$77:$J$204,2,FALSE)</f>
        <v>Venez nombreux pour ce bilan annuel de notre association !</v>
      </c>
      <c r="AE57" s="1179"/>
      <c r="AF57" s="1179"/>
      <c r="AG57" s="1179"/>
      <c r="AH57" s="1179"/>
      <c r="AI57" s="1179"/>
      <c r="AJ57" s="799"/>
      <c r="AK57" s="677">
        <f t="shared" si="28"/>
        <v>14</v>
      </c>
      <c r="AL57" s="705" t="str">
        <f t="shared" si="16"/>
        <v>Cojean Gwendal</v>
      </c>
      <c r="AM57" s="706">
        <f>IF(OR(HLOOKUP($AL57&amp;"a",[11]Feuil1!$A$27:$EP$48,3,FALSE)=FALSE,HLOOKUP($AL57&amp;"a",[11]Feuil1!$A$27:$EP$48,3,FALSE)=""),0,HLOOKUP($AL57&amp;"a",[11]Feuil1!$A$27:$EP$48,3,FALSE))</f>
        <v>2</v>
      </c>
      <c r="AN57" s="706">
        <f>IF(HLOOKUP($AL57&amp;"aa",[11]Feuil1!$A$27:$EP$48,3,FALSE)=FALSE,0,HLOOKUP($AL57&amp;"aa",[11]Feuil1!$A$27:$EP$48,3,FALSE))</f>
        <v>8</v>
      </c>
      <c r="AO57" s="706">
        <f>IF(OR(HLOOKUP($AL57&amp;"a",[11]Feuil1!$A$27:$EP$48,4,FALSE)=FALSE,HLOOKUP($AL57&amp;"a",[11]Feuil1!$A$27:$EP$48,4,FALSE)=""),0,HLOOKUP($AL57&amp;"a",[11]Feuil1!$A$27:$EP$48,4,FALSE))</f>
        <v>0</v>
      </c>
      <c r="AP57" s="706">
        <f>IF(HLOOKUP($AL57&amp;"aa",[11]Feuil1!$A$27:$EP$48,4,FALSE)=FALSE,0,HLOOKUP($AL57&amp;"aa",[11]Feuil1!$A$27:$EP$48,4,FALSE))</f>
        <v>2</v>
      </c>
      <c r="AQ57" s="706">
        <f>IF(OR(HLOOKUP($AL57&amp;"a",[11]Feuil1!$A$27:$EP$48,5,FALSE)=FALSE,HLOOKUP($AL57&amp;"a",[11]Feuil1!$A$27:$EP$48,5,FALSE)=""),0,HLOOKUP($AL57&amp;"a",[11]Feuil1!$A$27:$EP$48,5,FALSE))</f>
        <v>0</v>
      </c>
      <c r="AR57" s="706">
        <f>IF(HLOOKUP($AL57&amp;"aa",[11]Feuil1!$A$27:$EP$48,5,FALSE)=FALSE,0,HLOOKUP($AL57&amp;"aa",[11]Feuil1!$A$27:$EP$48,5,FALSE))</f>
        <v>2</v>
      </c>
      <c r="AS57" s="706">
        <f>IF(OR(HLOOKUP($AL57&amp;"a",[11]Feuil1!$A$27:$EP$48,6,FALSE)=FALSE,HLOOKUP($AL57&amp;"a",[11]Feuil1!$A$27:$EP$48,6,FALSE)=""),0,HLOOKUP($AL57&amp;"a",[11]Feuil1!$A$27:$EP$48,6,FALSE))</f>
        <v>0</v>
      </c>
      <c r="AT57" s="706">
        <f>IF(HLOOKUP($AL57&amp;"aa",[11]Feuil1!$A$27:$EP$48,6,FALSE)=FALSE,0,HLOOKUP($AL57&amp;"aa",[11]Feuil1!$A$27:$EP$48,6,FALSE))</f>
        <v>0</v>
      </c>
      <c r="AU57" s="706">
        <f>IF(OR(HLOOKUP($AL57&amp;"a",[11]Feuil1!$A$27:$EP$48,7,FALSE)=FALSE,HLOOKUP($AL57&amp;"a",[11]Feuil1!$A$27:$EP$48,7,FALSE)=""),0,HLOOKUP($AL57&amp;"a",[11]Feuil1!$A$27:$EP$48,7,FALSE))</f>
        <v>0</v>
      </c>
      <c r="AV57" s="706">
        <f>IF(HLOOKUP($AL57&amp;"aa",[11]Feuil1!$A$27:$EP$48,7,FALSE)=FALSE,0,HLOOKUP($AL57&amp;"aa",[11]Feuil1!$A$27:$EP$48,7,FALSE))</f>
        <v>0</v>
      </c>
      <c r="AW57" s="706">
        <f>IF(OR(HLOOKUP($AL57&amp;"a",[11]Feuil1!$A$27:$EP$48,8,FALSE)=FALSE,HLOOKUP($AL57&amp;"a",[11]Feuil1!$A$27:$EP$48,8,FALSE)=""),0,HLOOKUP($AL57&amp;"a",[11]Feuil1!$A$27:$EP$48,8,FALSE))</f>
        <v>0</v>
      </c>
      <c r="AX57" s="706">
        <f>IF(HLOOKUP($AL57&amp;"aa",[11]Feuil1!$A$27:$EP$48,8,FALSE)=FALSE,0,HLOOKUP($AL57&amp;"aa",[11]Feuil1!$A$27:$EP$48,8,FALSE))</f>
        <v>0</v>
      </c>
      <c r="AY57" s="706">
        <f>IF(OR(HLOOKUP($AL57&amp;"a",[11]Feuil1!$A$27:$EP$48,9,FALSE)=FALSE,HLOOKUP($AL57&amp;"a",[11]Feuil1!$A$27:$EP$48,9,FALSE)=""),0,HLOOKUP($AL57&amp;"a",[11]Feuil1!$A$27:$EP$48,9,FALSE))</f>
        <v>0</v>
      </c>
      <c r="AZ57" s="706">
        <f>IF(HLOOKUP($AL57&amp;"aa",[11]Feuil1!$A$27:$EP$48,9,FALSE)=FALSE,0,HLOOKUP($AL57&amp;"aa",[11]Feuil1!$A$27:$EP$48,9,FALSE))</f>
        <v>0</v>
      </c>
      <c r="BA57" s="706">
        <f>IF(OR(HLOOKUP($AL57&amp;"a",[11]Feuil1!$A$27:$EP$48,10,FALSE)=FALSE,HLOOKUP($AL57&amp;"a",[11]Feuil1!$A$27:$EP$48,10,FALSE)=""),0,HLOOKUP($AL57&amp;"a",[11]Feuil1!$A$27:$EP$48,10,FALSE))</f>
        <v>0</v>
      </c>
      <c r="BB57" s="706">
        <f>IF(HLOOKUP($AL57&amp;"aa",[11]Feuil1!$A$27:$EP$48,10,FALSE)=FALSE,0,HLOOKUP($AL57&amp;"aa",[11]Feuil1!$A$27:$EP$48,10,FALSE))</f>
        <v>0</v>
      </c>
      <c r="BC57" s="706">
        <f>IF(OR(HLOOKUP($AL57&amp;"a",[11]Feuil1!$A$27:$EP$48,11,FALSE)=FALSE,HLOOKUP($AL57&amp;"a",[11]Feuil1!$A$27:$EP$48,11,FALSE)=""),0,HLOOKUP($AL57&amp;"a",[11]Feuil1!$A$27:$EP$48,11,FALSE))</f>
        <v>0</v>
      </c>
      <c r="BD57" s="706">
        <f>IF(HLOOKUP($AL57&amp;"aa",[11]Feuil1!$A$27:$EP$48,11,FALSE)=FALSE,0,HLOOKUP($AL57&amp;"aa",[11]Feuil1!$A$27:$EP$48,11,FALSE))</f>
        <v>0</v>
      </c>
      <c r="BE57" s="706">
        <f>IF(OR(HLOOKUP($AL57&amp;"a",[11]Feuil1!$A$27:$EP$48,12,FALSE)=FALSE,HLOOKUP($AL57&amp;"a",[11]Feuil1!$A$27:$EP$48,12,FALSE)=""),0,HLOOKUP($AL57&amp;"a",[11]Feuil1!$A$27:$EP$48,12,FALSE))</f>
        <v>0</v>
      </c>
      <c r="BF57" s="706">
        <f>IF(HLOOKUP($AL57&amp;"aa",[11]Feuil1!$A$27:$EP$48,12,FALSE)=FALSE,0,HLOOKUP($AL57&amp;"aa",[11]Feuil1!$A$27:$EP$48,12,FALSE))</f>
        <v>0</v>
      </c>
      <c r="BG57" s="706">
        <f>IF(OR(HLOOKUP($AL57&amp;"a",[11]Feuil1!$A$27:$EP$48,13,FALSE)=FALSE,HLOOKUP($AL57&amp;"a",[11]Feuil1!$A$27:$EP$48,13,FALSE)=""),0,HLOOKUP($AL57&amp;"a",[11]Feuil1!$A$27:$EP$48,13,FALSE))</f>
        <v>0</v>
      </c>
      <c r="BH57" s="706">
        <f>IF(HLOOKUP($AL57&amp;"aa",[11]Feuil1!$A$27:$EP$48,13,FALSE)=FALSE,0,HLOOKUP($AL57&amp;"aa",[11]Feuil1!$A$27:$EP$48,13,FALSE))</f>
        <v>0</v>
      </c>
      <c r="BI57" s="706">
        <f>IF(OR(HLOOKUP($AL57&amp;"a",[11]Feuil1!$A$27:$EP$48,14,FALSE)=FALSE,HLOOKUP($AL57&amp;"a",[11]Feuil1!$A$27:$EP$48,14,FALSE)=""),0,HLOOKUP($AL57&amp;"a",[11]Feuil1!$A$27:$EP$48,14,FALSE))</f>
        <v>0</v>
      </c>
      <c r="BJ57" s="706">
        <f>IF(HLOOKUP($AL57&amp;"aa",[11]Feuil1!$A$27:$EP$48,14,FALSE)=FALSE,0,HLOOKUP($AL57&amp;"aa",[11]Feuil1!$A$27:$EP$48,14,FALSE))</f>
        <v>0</v>
      </c>
      <c r="BK57" s="706">
        <f>IF(OR(HLOOKUP($AL57&amp;"a",[11]Feuil1!$A$27:$EP$48,15,FALSE)=FALSE,HLOOKUP($AL57&amp;"a",[11]Feuil1!$A$27:$EP$48,15,FALSE)=""),0,HLOOKUP($AL57&amp;"a",[11]Feuil1!$A$27:$EP$48,15,FALSE))</f>
        <v>0</v>
      </c>
      <c r="BL57" s="706">
        <f>IF(HLOOKUP($AL57&amp;"aa",[11]Feuil1!$A$27:$EP$48,15,FALSE)=FALSE,0,HLOOKUP($AL57&amp;"aa",[11]Feuil1!$A$27:$EP$48,15,FALSE))</f>
        <v>0</v>
      </c>
      <c r="BM57" s="706">
        <f>IF(OR(HLOOKUP($AL57&amp;"a",[11]Feuil1!$A$27:$EP$48,16,FALSE)=FALSE,HLOOKUP($AL57&amp;"a",[11]Feuil1!$A$27:$EP$48,16,FALSE)=""),0,HLOOKUP($AL57&amp;"a",[11]Feuil1!$A$27:$EP$48,16,FALSE))</f>
        <v>0</v>
      </c>
      <c r="BN57" s="706">
        <f>IF(HLOOKUP($AL57&amp;"aa",[11]Feuil1!$A$27:$EP$48,16,FALSE)=FALSE,0,HLOOKUP($AL57&amp;"aa",[11]Feuil1!$A$27:$EP$48,16,FALSE))</f>
        <v>0</v>
      </c>
      <c r="BO57" s="706">
        <f>IF(OR(HLOOKUP($AL57&amp;"a",[11]Feuil1!$A$27:$EP$48,17,FALSE)=FALSE,HLOOKUP($AL57&amp;"a",[11]Feuil1!$A$27:$EP$48,17,FALSE)=""),0,HLOOKUP($AL57&amp;"a",[11]Feuil1!$A$27:$EP$48,17,FALSE))</f>
        <v>0</v>
      </c>
      <c r="BP57" s="706">
        <f>IF(HLOOKUP($AL57&amp;"aa",[11]Feuil1!$A$27:$EP$48,17,FALSE)=FALSE,0,HLOOKUP($AL57&amp;"aa",[11]Feuil1!$A$27:$EP$48,17,FALSE))</f>
        <v>0</v>
      </c>
      <c r="BQ57" s="706">
        <f>IF(OR(HLOOKUP($AL57&amp;"a",[11]Feuil1!$A$27:$EP$48,18,FALSE)=FALSE,HLOOKUP($AL57&amp;"a",[11]Feuil1!$A$27:$EP$48,18,FALSE)=""),0,HLOOKUP($AL57&amp;"a",[11]Feuil1!$A$27:$EP$48,18,FALSE))</f>
        <v>0</v>
      </c>
      <c r="BR57" s="706">
        <f>IF(HLOOKUP($AL57&amp;"aa",[11]Feuil1!$A$27:$EP$48,18,FALSE)=FALSE,0,HLOOKUP($AL57&amp;"aa",[11]Feuil1!$A$27:$EP$48,18,FALSE))</f>
        <v>0</v>
      </c>
      <c r="BS57" s="707">
        <f t="shared" si="29"/>
        <v>5</v>
      </c>
      <c r="BT57" s="707">
        <f t="shared" si="30"/>
        <v>5.5</v>
      </c>
      <c r="BU57" s="707">
        <f t="shared" si="31"/>
        <v>5.4285714285714288</v>
      </c>
      <c r="BV57" s="561"/>
      <c r="BW57" s="561"/>
      <c r="BX57" s="561"/>
      <c r="BY57" s="561"/>
      <c r="BZ57" s="561"/>
      <c r="CA57" s="561"/>
      <c r="CB57" s="561"/>
      <c r="CC57" s="589"/>
      <c r="CD57" s="561"/>
      <c r="CE57" s="561"/>
      <c r="CF57" s="561"/>
      <c r="CG57" s="561"/>
      <c r="CH57" s="561"/>
      <c r="CI57" s="714"/>
      <c r="CK57" s="715">
        <f t="shared" si="36"/>
        <v>0.40600000000000591</v>
      </c>
      <c r="CL57" s="591">
        <f t="shared" si="17"/>
        <v>0</v>
      </c>
      <c r="CM57" s="716">
        <f t="shared" ref="CM57:CR82" si="47">IF(F57="","",F57-E57)</f>
        <v>0.40600000000000591</v>
      </c>
      <c r="CN57" s="716">
        <f t="shared" si="47"/>
        <v>0</v>
      </c>
      <c r="CO57" s="716">
        <f t="shared" si="45"/>
        <v>0</v>
      </c>
      <c r="CP57" s="716">
        <f t="shared" si="45"/>
        <v>-0.40600000000000591</v>
      </c>
      <c r="CQ57" s="716">
        <f t="shared" si="45"/>
        <v>0.40600000000000591</v>
      </c>
      <c r="CR57" s="716">
        <f t="shared" si="45"/>
        <v>0.19999999999998863</v>
      </c>
      <c r="CS57" s="716">
        <f t="shared" si="45"/>
        <v>-21.199999999999989</v>
      </c>
      <c r="CT57" s="716">
        <f t="shared" si="45"/>
        <v>-6</v>
      </c>
      <c r="CU57" s="716">
        <f t="shared" si="45"/>
        <v>0</v>
      </c>
      <c r="CV57" s="717" t="str">
        <f t="shared" si="37"/>
        <v>faux</v>
      </c>
      <c r="CW57" s="718">
        <f>IF(E57=0,"",VLOOKUP(B57,[10]liste!AU:BD,10,FALSE))</f>
        <v>2</v>
      </c>
      <c r="CX57" s="719">
        <f t="shared" si="19"/>
        <v>473</v>
      </c>
      <c r="CY57" s="720" t="str">
        <f t="shared" si="38"/>
        <v>NC</v>
      </c>
      <c r="CZ57" s="789"/>
      <c r="DA57" s="789"/>
      <c r="DB57" s="789"/>
      <c r="DC57" s="722" t="str">
        <f t="shared" ca="1" si="20"/>
        <v/>
      </c>
      <c r="DE57" s="723">
        <f t="shared" si="21"/>
        <v>499.59399999999999</v>
      </c>
      <c r="DF57" s="723">
        <f t="shared" si="22"/>
        <v>473</v>
      </c>
      <c r="DG57" s="697" t="str">
        <f t="shared" si="23"/>
        <v>Cojean Gwendal</v>
      </c>
      <c r="DH57" s="724">
        <f t="shared" si="24"/>
        <v>2</v>
      </c>
      <c r="DI57" s="724">
        <f t="shared" si="39"/>
        <v>2</v>
      </c>
      <c r="DJ57" s="719">
        <f t="shared" si="25"/>
        <v>499.59399999999999</v>
      </c>
      <c r="DK57" s="719" t="str">
        <f t="shared" si="26"/>
        <v/>
      </c>
      <c r="DL57" s="719" t="str">
        <f t="shared" si="40"/>
        <v/>
      </c>
      <c r="DM57" s="789"/>
      <c r="DN57" s="789"/>
      <c r="DO57" s="789"/>
      <c r="DP57" s="720" t="str">
        <f t="shared" si="41"/>
        <v>NC</v>
      </c>
      <c r="DQ57" s="591">
        <f ca="1">VLOOKUP(DG57,[10]résultats!$A$2:$DE$70,109,FALSE)</f>
        <v>2</v>
      </c>
      <c r="DR57" s="591">
        <f ca="1">VLOOKUP(DG57,[10]résultats!$A$2:$DG$70,111,FALSE)</f>
        <v>14</v>
      </c>
      <c r="DT57" s="591">
        <f t="shared" si="42"/>
        <v>42</v>
      </c>
      <c r="DU57" s="591">
        <f t="shared" si="43"/>
        <v>42</v>
      </c>
    </row>
    <row r="58" spans="1:125" s="554" customFormat="1" ht="20.25">
      <c r="A58" s="800" t="str">
        <f t="shared" si="9"/>
        <v/>
      </c>
      <c r="B58" s="801" t="str">
        <f>IF(E58=0,"",VLOOKUP(E58,[10]liste!AM:AN,2,FALSE))</f>
        <v/>
      </c>
      <c r="C58" s="802" t="str">
        <f>IF(E58=0,"",VLOOKUP(B58,[10]liste!AN:AP,3,FALSE))</f>
        <v/>
      </c>
      <c r="D58" s="803" t="str">
        <f t="shared" si="10"/>
        <v/>
      </c>
      <c r="E58" s="804">
        <f>LARGE([10]liste!AM:AM,43)</f>
        <v>0</v>
      </c>
      <c r="G58" s="805"/>
      <c r="H58" s="805"/>
      <c r="I58" s="804"/>
      <c r="J58" s="805"/>
      <c r="K58" s="805"/>
      <c r="L58" s="805"/>
      <c r="M58" s="804"/>
      <c r="N58" s="806"/>
      <c r="O58" s="806"/>
      <c r="P58" s="695">
        <f t="shared" ca="1" si="11"/>
        <v>0</v>
      </c>
      <c r="Q58" s="807">
        <f t="shared" si="12"/>
        <v>0</v>
      </c>
      <c r="R58" s="808">
        <f>IF(U58&lt;MAX(U58:U110)/7,"NS",IF(B58="",0,VLOOKUP(B58,[10]résultats!AX:DH,63,FALSE)))</f>
        <v>0</v>
      </c>
      <c r="S58" s="809" t="str">
        <f t="shared" si="13"/>
        <v/>
      </c>
      <c r="T58" s="807">
        <f t="shared" si="14"/>
        <v>0</v>
      </c>
      <c r="U58" s="807">
        <f t="shared" si="14"/>
        <v>0</v>
      </c>
      <c r="V58" s="810"/>
      <c r="W58" s="810"/>
      <c r="X58" s="810"/>
      <c r="Y58" s="811">
        <f t="shared" si="15"/>
        <v>0</v>
      </c>
      <c r="Z58" s="812">
        <f ca="1">SMALL([10]cal.Ph1!F77:F179,3)</f>
        <v>42184.000000412438</v>
      </c>
      <c r="AA58" s="813" t="str">
        <f ca="1">IF(Z58=50000,"",VLOOKUP(Z58,[10]cal.Ph1!$F$74:$I$201,4,FALSE))</f>
        <v>comité directeur</v>
      </c>
      <c r="AB58" s="813"/>
      <c r="AC58" s="813"/>
      <c r="AD58" s="1157" t="str">
        <f ca="1">VLOOKUP(AA58,[10]cal.Ph1!$I$77:$J$204,2,FALSE)</f>
        <v>à 20h30 au "Clos des Moines"</v>
      </c>
      <c r="AE58" s="1157"/>
      <c r="AF58" s="1157"/>
      <c r="AG58" s="1157"/>
      <c r="AH58" s="1157"/>
      <c r="AI58" s="1157"/>
      <c r="AJ58" s="799"/>
      <c r="AK58" s="677">
        <f t="shared" si="28"/>
        <v>0</v>
      </c>
      <c r="AM58" s="706" t="e">
        <f>IF(OR(HLOOKUP($AL58&amp;"a",[11]Feuil1!$A$27:$EP$48,3,FALSE)=FALSE,HLOOKUP($AL58&amp;"a",[11]Feuil1!$A$27:$EP$48,3,FALSE)=""),0,HLOOKUP($AL58&amp;"a",[11]Feuil1!$A$27:$EP$48,3,FALSE))</f>
        <v>#N/A</v>
      </c>
      <c r="AN58" s="706" t="e">
        <f>IF(HLOOKUP($AL58&amp;"aa",[11]Feuil1!$A$27:$EP$48,3,FALSE)=FALSE,0,HLOOKUP($AL58&amp;"aa",[11]Feuil1!$A$27:$EP$48,3,FALSE))</f>
        <v>#N/A</v>
      </c>
      <c r="AO58" s="706" t="e">
        <f>IF(OR(HLOOKUP($AL58&amp;"a",[11]Feuil1!$A$27:$EP$48,4,FALSE)=FALSE,HLOOKUP($AL58&amp;"a",[11]Feuil1!$A$27:$EP$48,4,FALSE)=""),0,HLOOKUP($AL58&amp;"a",[11]Feuil1!$A$27:$EP$48,4,FALSE))</f>
        <v>#N/A</v>
      </c>
      <c r="AP58" s="706" t="e">
        <f>IF(HLOOKUP($AL58&amp;"aa",[11]Feuil1!$A$27:$EP$48,4,FALSE)=FALSE,0,HLOOKUP($AL58&amp;"aa",[11]Feuil1!$A$27:$EP$48,4,FALSE))</f>
        <v>#N/A</v>
      </c>
      <c r="AQ58" s="706" t="e">
        <f>IF(OR(HLOOKUP($AL58&amp;"a",[11]Feuil1!$A$27:$EP$48,5,FALSE)=FALSE,HLOOKUP($AL58&amp;"a",[11]Feuil1!$A$27:$EP$48,5,FALSE)=""),0,HLOOKUP($AL58&amp;"a",[11]Feuil1!$A$27:$EP$48,5,FALSE))</f>
        <v>#N/A</v>
      </c>
      <c r="AR58" s="706" t="e">
        <f>IF(HLOOKUP($AL58&amp;"aa",[11]Feuil1!$A$27:$EP$48,5,FALSE)=FALSE,0,HLOOKUP($AL58&amp;"aa",[11]Feuil1!$A$27:$EP$48,5,FALSE))</f>
        <v>#N/A</v>
      </c>
      <c r="AS58" s="706" t="e">
        <f>IF(OR(HLOOKUP($AL58&amp;"a",[11]Feuil1!$A$27:$EP$48,6,FALSE)=FALSE,HLOOKUP($AL58&amp;"a",[11]Feuil1!$A$27:$EP$48,6,FALSE)=""),0,HLOOKUP($AL58&amp;"a",[11]Feuil1!$A$27:$EP$48,6,FALSE))</f>
        <v>#N/A</v>
      </c>
      <c r="AT58" s="706" t="e">
        <f>IF(HLOOKUP($AL58&amp;"aa",[11]Feuil1!$A$27:$EP$48,6,FALSE)=FALSE,0,HLOOKUP($AL58&amp;"aa",[11]Feuil1!$A$27:$EP$48,6,FALSE))</f>
        <v>#N/A</v>
      </c>
      <c r="AU58" s="706" t="e">
        <f>IF(OR(HLOOKUP($AL58&amp;"a",[11]Feuil1!$A$27:$EP$48,7,FALSE)=FALSE,HLOOKUP($AL58&amp;"a",[11]Feuil1!$A$27:$EP$48,7,FALSE)=""),0,HLOOKUP($AL58&amp;"a",[11]Feuil1!$A$27:$EP$48,7,FALSE))</f>
        <v>#N/A</v>
      </c>
      <c r="AV58" s="706" t="e">
        <f>IF(HLOOKUP($AL58&amp;"aa",[11]Feuil1!$A$27:$EP$48,7,FALSE)=FALSE,0,HLOOKUP($AL58&amp;"aa",[11]Feuil1!$A$27:$EP$48,7,FALSE))</f>
        <v>#N/A</v>
      </c>
      <c r="AW58" s="706" t="e">
        <f>IF(OR(HLOOKUP($AL58&amp;"a",[11]Feuil1!$A$27:$EP$48,8,FALSE)=FALSE,HLOOKUP($AL58&amp;"a",[11]Feuil1!$A$27:$EP$48,8,FALSE)=""),0,HLOOKUP($AL58&amp;"a",[11]Feuil1!$A$27:$EP$48,8,FALSE))</f>
        <v>#N/A</v>
      </c>
      <c r="AX58" s="706" t="e">
        <f>IF(HLOOKUP($AL58&amp;"aa",[11]Feuil1!$A$27:$EP$48,8,FALSE)=FALSE,0,HLOOKUP($AL58&amp;"aa",[11]Feuil1!$A$27:$EP$48,8,FALSE))</f>
        <v>#N/A</v>
      </c>
      <c r="AY58" s="706" t="e">
        <f>IF(OR(HLOOKUP($AL58&amp;"a",[11]Feuil1!$A$27:$EP$48,9,FALSE)=FALSE,HLOOKUP($AL58&amp;"a",[11]Feuil1!$A$27:$EP$48,9,FALSE)=""),0,HLOOKUP($AL58&amp;"a",[11]Feuil1!$A$27:$EP$48,9,FALSE))</f>
        <v>#N/A</v>
      </c>
      <c r="AZ58" s="706" t="e">
        <f>IF(HLOOKUP($AL58&amp;"aa",[11]Feuil1!$A$27:$EP$48,9,FALSE)=FALSE,0,HLOOKUP($AL58&amp;"aa",[11]Feuil1!$A$27:$EP$48,9,FALSE))</f>
        <v>#N/A</v>
      </c>
      <c r="BA58" s="706" t="e">
        <f>IF(OR(HLOOKUP($AL58&amp;"a",[11]Feuil1!$A$27:$EP$48,10,FALSE)=FALSE,HLOOKUP($AL58&amp;"a",[11]Feuil1!$A$27:$EP$48,10,FALSE)=""),0,HLOOKUP($AL58&amp;"a",[11]Feuil1!$A$27:$EP$48,10,FALSE))</f>
        <v>#N/A</v>
      </c>
      <c r="BB58" s="706" t="e">
        <f>IF(HLOOKUP($AL58&amp;"aa",[11]Feuil1!$A$27:$EP$48,10,FALSE)=FALSE,0,HLOOKUP($AL58&amp;"aa",[11]Feuil1!$A$27:$EP$48,10,FALSE))</f>
        <v>#N/A</v>
      </c>
      <c r="BC58" s="706" t="e">
        <f>IF(OR(HLOOKUP($AL58&amp;"a",[11]Feuil1!$A$27:$EP$48,11,FALSE)=FALSE,HLOOKUP($AL58&amp;"a",[11]Feuil1!$A$27:$EP$48,11,FALSE)=""),0,HLOOKUP($AL58&amp;"a",[11]Feuil1!$A$27:$EP$48,11,FALSE))</f>
        <v>#N/A</v>
      </c>
      <c r="BD58" s="706" t="e">
        <f>IF(HLOOKUP($AL58&amp;"aa",[11]Feuil1!$A$27:$EP$48,11,FALSE)=FALSE,0,HLOOKUP($AL58&amp;"aa",[11]Feuil1!$A$27:$EP$48,11,FALSE))</f>
        <v>#N/A</v>
      </c>
      <c r="BE58" s="706" t="e">
        <f>IF(OR(HLOOKUP($AL58&amp;"a",[11]Feuil1!$A$27:$EP$48,12,FALSE)=FALSE,HLOOKUP($AL58&amp;"a",[11]Feuil1!$A$27:$EP$48,12,FALSE)=""),0,HLOOKUP($AL58&amp;"a",[11]Feuil1!$A$27:$EP$48,12,FALSE))</f>
        <v>#N/A</v>
      </c>
      <c r="BF58" s="706" t="e">
        <f>IF(HLOOKUP($AL58&amp;"aa",[11]Feuil1!$A$27:$EP$48,12,FALSE)=FALSE,0,HLOOKUP($AL58&amp;"aa",[11]Feuil1!$A$27:$EP$48,12,FALSE))</f>
        <v>#N/A</v>
      </c>
      <c r="BG58" s="706" t="e">
        <f>IF(OR(HLOOKUP($AL58&amp;"a",[11]Feuil1!$A$27:$EP$48,13,FALSE)=FALSE,HLOOKUP($AL58&amp;"a",[11]Feuil1!$A$27:$EP$48,13,FALSE)=""),0,HLOOKUP($AL58&amp;"a",[11]Feuil1!$A$27:$EP$48,13,FALSE))</f>
        <v>#N/A</v>
      </c>
      <c r="BH58" s="706" t="e">
        <f>IF(HLOOKUP($AL58&amp;"aa",[11]Feuil1!$A$27:$EP$48,13,FALSE)=FALSE,0,HLOOKUP($AL58&amp;"aa",[11]Feuil1!$A$27:$EP$48,13,FALSE))</f>
        <v>#N/A</v>
      </c>
      <c r="BI58" s="706" t="e">
        <f>IF(OR(HLOOKUP($AL58&amp;"a",[11]Feuil1!$A$27:$EP$48,14,FALSE)=FALSE,HLOOKUP($AL58&amp;"a",[11]Feuil1!$A$27:$EP$48,14,FALSE)=""),0,HLOOKUP($AL58&amp;"a",[11]Feuil1!$A$27:$EP$48,14,FALSE))</f>
        <v>#N/A</v>
      </c>
      <c r="BJ58" s="706" t="e">
        <f>IF(HLOOKUP($AL58&amp;"aa",[11]Feuil1!$A$27:$EP$48,14,FALSE)=FALSE,0,HLOOKUP($AL58&amp;"aa",[11]Feuil1!$A$27:$EP$48,14,FALSE))</f>
        <v>#N/A</v>
      </c>
      <c r="BK58" s="706" t="e">
        <f>IF(OR(HLOOKUP($AL58&amp;"a",[11]Feuil1!$A$27:$EP$48,15,FALSE)=FALSE,HLOOKUP($AL58&amp;"a",[11]Feuil1!$A$27:$EP$48,15,FALSE)=""),0,HLOOKUP($AL58&amp;"a",[11]Feuil1!$A$27:$EP$48,15,FALSE))</f>
        <v>#N/A</v>
      </c>
      <c r="BL58" s="706" t="e">
        <f>IF(HLOOKUP($AL58&amp;"aa",[11]Feuil1!$A$27:$EP$48,15,FALSE)=FALSE,0,HLOOKUP($AL58&amp;"aa",[11]Feuil1!$A$27:$EP$48,15,FALSE))</f>
        <v>#N/A</v>
      </c>
      <c r="BM58" s="706" t="e">
        <f>IF(OR(HLOOKUP($AL58&amp;"a",[11]Feuil1!$A$27:$EP$48,16,FALSE)=FALSE,HLOOKUP($AL58&amp;"a",[11]Feuil1!$A$27:$EP$48,16,FALSE)=""),0,HLOOKUP($AL58&amp;"a",[11]Feuil1!$A$27:$EP$48,16,FALSE))</f>
        <v>#N/A</v>
      </c>
      <c r="BN58" s="706" t="e">
        <f>IF(HLOOKUP($AL58&amp;"aa",[11]Feuil1!$A$27:$EP$48,16,FALSE)=FALSE,0,HLOOKUP($AL58&amp;"aa",[11]Feuil1!$A$27:$EP$48,16,FALSE))</f>
        <v>#N/A</v>
      </c>
      <c r="BO58" s="706" t="e">
        <f>IF(OR(HLOOKUP($AL58&amp;"a",[11]Feuil1!$A$27:$EP$48,17,FALSE)=FALSE,HLOOKUP($AL58&amp;"a",[11]Feuil1!$A$27:$EP$48,17,FALSE)=""),0,HLOOKUP($AL58&amp;"a",[11]Feuil1!$A$27:$EP$48,17,FALSE))</f>
        <v>#N/A</v>
      </c>
      <c r="BP58" s="706" t="e">
        <f>IF(HLOOKUP($AL58&amp;"aa",[11]Feuil1!$A$27:$EP$48,17,FALSE)=FALSE,0,HLOOKUP($AL58&amp;"aa",[11]Feuil1!$A$27:$EP$48,17,FALSE))</f>
        <v>#N/A</v>
      </c>
      <c r="BQ58" s="706" t="e">
        <f>IF(OR(HLOOKUP($AL58&amp;"a",[11]Feuil1!$A$27:$EP$48,18,FALSE)=FALSE,HLOOKUP($AL58&amp;"a",[11]Feuil1!$A$27:$EP$48,18,FALSE)=""),0,HLOOKUP($AL58&amp;"a",[11]Feuil1!$A$27:$EP$48,18,FALSE))</f>
        <v>#N/A</v>
      </c>
      <c r="BR58" s="706" t="e">
        <f>IF(HLOOKUP($AL58&amp;"aa",[11]Feuil1!$A$27:$EP$48,18,FALSE)=FALSE,0,HLOOKUP($AL58&amp;"aa",[11]Feuil1!$A$27:$EP$48,18,FALSE))</f>
        <v>#N/A</v>
      </c>
      <c r="BS58" s="707" t="e">
        <f t="shared" si="29"/>
        <v>#N/A</v>
      </c>
      <c r="BT58" s="707" t="e">
        <f t="shared" si="30"/>
        <v>#N/A</v>
      </c>
      <c r="BU58" s="707">
        <f t="shared" si="31"/>
        <v>0</v>
      </c>
      <c r="BV58" s="561"/>
      <c r="BW58" s="561"/>
      <c r="BX58" s="561"/>
      <c r="BY58" s="561"/>
      <c r="BZ58" s="561"/>
      <c r="CA58" s="561"/>
      <c r="CB58" s="561"/>
      <c r="CC58" s="589"/>
      <c r="CD58" s="561"/>
      <c r="CE58" s="561"/>
      <c r="CF58" s="561"/>
      <c r="CG58" s="561"/>
      <c r="CH58" s="561"/>
      <c r="CI58" s="714"/>
      <c r="CK58" s="715">
        <f t="shared" si="36"/>
        <v>0</v>
      </c>
      <c r="CL58" s="591">
        <f t="shared" si="17"/>
        <v>0</v>
      </c>
      <c r="CM58" s="716" t="str">
        <f t="shared" si="47"/>
        <v/>
      </c>
      <c r="CN58" s="716" t="str">
        <f t="shared" si="47"/>
        <v/>
      </c>
      <c r="CO58" s="716" t="str">
        <f t="shared" si="45"/>
        <v/>
      </c>
      <c r="CP58" s="716" t="str">
        <f t="shared" si="45"/>
        <v/>
      </c>
      <c r="CQ58" s="716" t="str">
        <f t="shared" si="45"/>
        <v/>
      </c>
      <c r="CR58" s="716" t="str">
        <f t="shared" si="45"/>
        <v/>
      </c>
      <c r="CS58" s="716" t="str">
        <f t="shared" si="45"/>
        <v/>
      </c>
      <c r="CT58" s="716" t="str">
        <f t="shared" si="45"/>
        <v/>
      </c>
      <c r="CU58" s="716" t="str">
        <f t="shared" si="45"/>
        <v/>
      </c>
      <c r="CV58" s="717" t="str">
        <f t="shared" si="37"/>
        <v/>
      </c>
      <c r="CW58" s="718" t="str">
        <f>IF(E58=0,"",VLOOKUP(B58,[10]liste!AU:BD,10,FALSE))</f>
        <v/>
      </c>
      <c r="CX58" s="719">
        <f t="shared" si="19"/>
        <v>0</v>
      </c>
      <c r="CY58" s="720" t="str">
        <f t="shared" si="38"/>
        <v>NC</v>
      </c>
      <c r="CZ58" s="789"/>
      <c r="DA58" s="789"/>
      <c r="DB58" s="789"/>
      <c r="DC58" s="722" t="str">
        <f t="shared" si="20"/>
        <v/>
      </c>
      <c r="DE58" s="723" t="str">
        <f t="shared" si="21"/>
        <v/>
      </c>
      <c r="DF58" s="723" t="str">
        <f t="shared" si="22"/>
        <v/>
      </c>
      <c r="DG58" s="697" t="str">
        <f t="shared" si="23"/>
        <v/>
      </c>
      <c r="DH58" s="724" t="str">
        <f t="shared" si="24"/>
        <v/>
      </c>
      <c r="DI58" s="724" t="str">
        <f t="shared" si="39"/>
        <v/>
      </c>
      <c r="DJ58" s="719">
        <f t="shared" si="25"/>
        <v>0</v>
      </c>
      <c r="DK58" s="719">
        <f t="shared" si="26"/>
        <v>0</v>
      </c>
      <c r="DL58" s="719">
        <f t="shared" si="40"/>
        <v>0</v>
      </c>
      <c r="DM58" s="789"/>
      <c r="DN58" s="789"/>
      <c r="DO58" s="789"/>
      <c r="DP58" s="720" t="str">
        <f t="shared" si="41"/>
        <v>NC</v>
      </c>
      <c r="DQ58" s="591">
        <f>VLOOKUP(DG58,[10]résultats!$A$2:$DE$70,109,FALSE)</f>
        <v>0</v>
      </c>
      <c r="DR58" s="591">
        <f>VLOOKUP(DG58,[10]résultats!$A$2:$DG$70,111,FALSE)</f>
        <v>0</v>
      </c>
      <c r="DT58" s="591">
        <f t="shared" si="42"/>
        <v>0</v>
      </c>
      <c r="DU58" s="591">
        <f t="shared" si="43"/>
        <v>0</v>
      </c>
    </row>
    <row r="59" spans="1:125" s="554" customFormat="1" ht="20.25">
      <c r="A59" s="800" t="str">
        <f t="shared" si="9"/>
        <v/>
      </c>
      <c r="B59" s="801" t="str">
        <f>IF(E59=0,"",VLOOKUP(E59,[10]liste!AM:AN,2,FALSE))</f>
        <v/>
      </c>
      <c r="C59" s="802" t="str">
        <f>IF(E59=0,"",VLOOKUP(B59,[10]liste!AN:AP,3,FALSE))</f>
        <v/>
      </c>
      <c r="D59" s="803" t="str">
        <f t="shared" si="10"/>
        <v/>
      </c>
      <c r="E59" s="804">
        <f>LARGE([10]liste!AM:AM,44)</f>
        <v>0</v>
      </c>
      <c r="G59" s="805"/>
      <c r="H59" s="805"/>
      <c r="I59" s="804"/>
      <c r="J59" s="805"/>
      <c r="K59" s="805"/>
      <c r="L59" s="805"/>
      <c r="M59" s="804"/>
      <c r="N59" s="806"/>
      <c r="O59" s="806"/>
      <c r="P59" s="695">
        <f t="shared" ca="1" si="11"/>
        <v>0</v>
      </c>
      <c r="Q59" s="807">
        <f t="shared" si="12"/>
        <v>0</v>
      </c>
      <c r="R59" s="808">
        <f>IF(U59&lt;MAX(U59:U111)/7,"NS",IF(B59="",0,VLOOKUP(B59,[10]résultats!AX:DH,63,FALSE)))</f>
        <v>0</v>
      </c>
      <c r="S59" s="809" t="str">
        <f t="shared" si="13"/>
        <v/>
      </c>
      <c r="T59" s="807">
        <f t="shared" si="14"/>
        <v>0</v>
      </c>
      <c r="U59" s="807">
        <f t="shared" si="14"/>
        <v>0</v>
      </c>
      <c r="V59" s="810"/>
      <c r="W59" s="810"/>
      <c r="X59" s="810"/>
      <c r="Y59" s="811">
        <f t="shared" si="15"/>
        <v>0</v>
      </c>
      <c r="Z59" s="812">
        <f ca="1">SMALL([10]cal.Ph1!F77:F179,4)</f>
        <v>42189.000000356107</v>
      </c>
      <c r="AA59" s="813" t="str">
        <f ca="1">IF(Z59=50000,"",VLOOKUP(Z59,[10]cal.Ph1!$F$74:$I$201,4,FALSE))</f>
        <v>Vacances : Vacances d'été</v>
      </c>
      <c r="AB59" s="813"/>
      <c r="AC59" s="813"/>
      <c r="AD59" s="1157" t="str">
        <f ca="1">VLOOKUP(AA59,[10]cal.Ph1!$I$77:$J$204,2,FALSE)</f>
        <v>L'entraînement " 20h / 22h " du lundi est assuré toute l'année grâce à M-Paule !</v>
      </c>
      <c r="AE59" s="1157"/>
      <c r="AF59" s="1157"/>
      <c r="AG59" s="1157"/>
      <c r="AH59" s="1157"/>
      <c r="AI59" s="1157"/>
      <c r="AJ59" s="799"/>
      <c r="AK59" s="677">
        <f t="shared" si="28"/>
        <v>0</v>
      </c>
      <c r="AM59" s="706" t="e">
        <f>IF(OR(HLOOKUP($AL59&amp;"a",[11]Feuil1!$A$27:$EP$48,3,FALSE)=FALSE,HLOOKUP($AL59&amp;"a",[11]Feuil1!$A$27:$EP$48,3,FALSE)=""),0,HLOOKUP($AL59&amp;"a",[11]Feuil1!$A$27:$EP$48,3,FALSE))</f>
        <v>#N/A</v>
      </c>
      <c r="AN59" s="706" t="e">
        <f>IF(HLOOKUP($AL59&amp;"aa",[11]Feuil1!$A$27:$EP$48,3,FALSE)=FALSE,0,HLOOKUP($AL59&amp;"aa",[11]Feuil1!$A$27:$EP$48,3,FALSE))</f>
        <v>#N/A</v>
      </c>
      <c r="AO59" s="706" t="e">
        <f>IF(OR(HLOOKUP($AL59&amp;"a",[11]Feuil1!$A$27:$EP$48,4,FALSE)=FALSE,HLOOKUP($AL59&amp;"a",[11]Feuil1!$A$27:$EP$48,4,FALSE)=""),0,HLOOKUP($AL59&amp;"a",[11]Feuil1!$A$27:$EP$48,4,FALSE))</f>
        <v>#N/A</v>
      </c>
      <c r="AP59" s="706" t="e">
        <f>IF(HLOOKUP($AL59&amp;"aa",[11]Feuil1!$A$27:$EP$48,4,FALSE)=FALSE,0,HLOOKUP($AL59&amp;"aa",[11]Feuil1!$A$27:$EP$48,4,FALSE))</f>
        <v>#N/A</v>
      </c>
      <c r="AQ59" s="706" t="e">
        <f>IF(OR(HLOOKUP($AL59&amp;"a",[11]Feuil1!$A$27:$EP$48,5,FALSE)=FALSE,HLOOKUP($AL59&amp;"a",[11]Feuil1!$A$27:$EP$48,5,FALSE)=""),0,HLOOKUP($AL59&amp;"a",[11]Feuil1!$A$27:$EP$48,5,FALSE))</f>
        <v>#N/A</v>
      </c>
      <c r="AR59" s="706" t="e">
        <f>IF(HLOOKUP($AL59&amp;"aa",[11]Feuil1!$A$27:$EP$48,5,FALSE)=FALSE,0,HLOOKUP($AL59&amp;"aa",[11]Feuil1!$A$27:$EP$48,5,FALSE))</f>
        <v>#N/A</v>
      </c>
      <c r="AS59" s="706" t="e">
        <f>IF(OR(HLOOKUP($AL59&amp;"a",[11]Feuil1!$A$27:$EP$48,6,FALSE)=FALSE,HLOOKUP($AL59&amp;"a",[11]Feuil1!$A$27:$EP$48,6,FALSE)=""),0,HLOOKUP($AL59&amp;"a",[11]Feuil1!$A$27:$EP$48,6,FALSE))</f>
        <v>#N/A</v>
      </c>
      <c r="AT59" s="706" t="e">
        <f>IF(HLOOKUP($AL59&amp;"aa",[11]Feuil1!$A$27:$EP$48,6,FALSE)=FALSE,0,HLOOKUP($AL59&amp;"aa",[11]Feuil1!$A$27:$EP$48,6,FALSE))</f>
        <v>#N/A</v>
      </c>
      <c r="AU59" s="706" t="e">
        <f>IF(OR(HLOOKUP($AL59&amp;"a",[11]Feuil1!$A$27:$EP$48,7,FALSE)=FALSE,HLOOKUP($AL59&amp;"a",[11]Feuil1!$A$27:$EP$48,7,FALSE)=""),0,HLOOKUP($AL59&amp;"a",[11]Feuil1!$A$27:$EP$48,7,FALSE))</f>
        <v>#N/A</v>
      </c>
      <c r="AV59" s="706" t="e">
        <f>IF(HLOOKUP($AL59&amp;"aa",[11]Feuil1!$A$27:$EP$48,7,FALSE)=FALSE,0,HLOOKUP($AL59&amp;"aa",[11]Feuil1!$A$27:$EP$48,7,FALSE))</f>
        <v>#N/A</v>
      </c>
      <c r="AW59" s="706" t="e">
        <f>IF(OR(HLOOKUP($AL59&amp;"a",[11]Feuil1!$A$27:$EP$48,8,FALSE)=FALSE,HLOOKUP($AL59&amp;"a",[11]Feuil1!$A$27:$EP$48,8,FALSE)=""),0,HLOOKUP($AL59&amp;"a",[11]Feuil1!$A$27:$EP$48,8,FALSE))</f>
        <v>#N/A</v>
      </c>
      <c r="AX59" s="706" t="e">
        <f>IF(HLOOKUP($AL59&amp;"aa",[11]Feuil1!$A$27:$EP$48,8,FALSE)=FALSE,0,HLOOKUP($AL59&amp;"aa",[11]Feuil1!$A$27:$EP$48,8,FALSE))</f>
        <v>#N/A</v>
      </c>
      <c r="AY59" s="706" t="e">
        <f>IF(OR(HLOOKUP($AL59&amp;"a",[11]Feuil1!$A$27:$EP$48,9,FALSE)=FALSE,HLOOKUP($AL59&amp;"a",[11]Feuil1!$A$27:$EP$48,9,FALSE)=""),0,HLOOKUP($AL59&amp;"a",[11]Feuil1!$A$27:$EP$48,9,FALSE))</f>
        <v>#N/A</v>
      </c>
      <c r="AZ59" s="706" t="e">
        <f>IF(HLOOKUP($AL59&amp;"aa",[11]Feuil1!$A$27:$EP$48,9,FALSE)=FALSE,0,HLOOKUP($AL59&amp;"aa",[11]Feuil1!$A$27:$EP$48,9,FALSE))</f>
        <v>#N/A</v>
      </c>
      <c r="BA59" s="706" t="e">
        <f>IF(OR(HLOOKUP($AL59&amp;"a",[11]Feuil1!$A$27:$EP$48,10,FALSE)=FALSE,HLOOKUP($AL59&amp;"a",[11]Feuil1!$A$27:$EP$48,10,FALSE)=""),0,HLOOKUP($AL59&amp;"a",[11]Feuil1!$A$27:$EP$48,10,FALSE))</f>
        <v>#N/A</v>
      </c>
      <c r="BB59" s="706" t="e">
        <f>IF(HLOOKUP($AL59&amp;"aa",[11]Feuil1!$A$27:$EP$48,10,FALSE)=FALSE,0,HLOOKUP($AL59&amp;"aa",[11]Feuil1!$A$27:$EP$48,10,FALSE))</f>
        <v>#N/A</v>
      </c>
      <c r="BC59" s="706" t="e">
        <f>IF(OR(HLOOKUP($AL59&amp;"a",[11]Feuil1!$A$27:$EP$48,11,FALSE)=FALSE,HLOOKUP($AL59&amp;"a",[11]Feuil1!$A$27:$EP$48,11,FALSE)=""),0,HLOOKUP($AL59&amp;"a",[11]Feuil1!$A$27:$EP$48,11,FALSE))</f>
        <v>#N/A</v>
      </c>
      <c r="BD59" s="706" t="e">
        <f>IF(HLOOKUP($AL59&amp;"aa",[11]Feuil1!$A$27:$EP$48,11,FALSE)=FALSE,0,HLOOKUP($AL59&amp;"aa",[11]Feuil1!$A$27:$EP$48,11,FALSE))</f>
        <v>#N/A</v>
      </c>
      <c r="BE59" s="706" t="e">
        <f>IF(OR(HLOOKUP($AL59&amp;"a",[11]Feuil1!$A$27:$EP$48,12,FALSE)=FALSE,HLOOKUP($AL59&amp;"a",[11]Feuil1!$A$27:$EP$48,12,FALSE)=""),0,HLOOKUP($AL59&amp;"a",[11]Feuil1!$A$27:$EP$48,12,FALSE))</f>
        <v>#N/A</v>
      </c>
      <c r="BF59" s="706" t="e">
        <f>IF(HLOOKUP($AL59&amp;"aa",[11]Feuil1!$A$27:$EP$48,12,FALSE)=FALSE,0,HLOOKUP($AL59&amp;"aa",[11]Feuil1!$A$27:$EP$48,12,FALSE))</f>
        <v>#N/A</v>
      </c>
      <c r="BG59" s="706" t="e">
        <f>IF(OR(HLOOKUP($AL59&amp;"a",[11]Feuil1!$A$27:$EP$48,13,FALSE)=FALSE,HLOOKUP($AL59&amp;"a",[11]Feuil1!$A$27:$EP$48,13,FALSE)=""),0,HLOOKUP($AL59&amp;"a",[11]Feuil1!$A$27:$EP$48,13,FALSE))</f>
        <v>#N/A</v>
      </c>
      <c r="BH59" s="706" t="e">
        <f>IF(HLOOKUP($AL59&amp;"aa",[11]Feuil1!$A$27:$EP$48,13,FALSE)=FALSE,0,HLOOKUP($AL59&amp;"aa",[11]Feuil1!$A$27:$EP$48,13,FALSE))</f>
        <v>#N/A</v>
      </c>
      <c r="BI59" s="706" t="e">
        <f>IF(OR(HLOOKUP($AL59&amp;"a",[11]Feuil1!$A$27:$EP$48,14,FALSE)=FALSE,HLOOKUP($AL59&amp;"a",[11]Feuil1!$A$27:$EP$48,14,FALSE)=""),0,HLOOKUP($AL59&amp;"a",[11]Feuil1!$A$27:$EP$48,14,FALSE))</f>
        <v>#N/A</v>
      </c>
      <c r="BJ59" s="706" t="e">
        <f>IF(HLOOKUP($AL59&amp;"aa",[11]Feuil1!$A$27:$EP$48,14,FALSE)=FALSE,0,HLOOKUP($AL59&amp;"aa",[11]Feuil1!$A$27:$EP$48,14,FALSE))</f>
        <v>#N/A</v>
      </c>
      <c r="BK59" s="706" t="e">
        <f>IF(OR(HLOOKUP($AL59&amp;"a",[11]Feuil1!$A$27:$EP$48,15,FALSE)=FALSE,HLOOKUP($AL59&amp;"a",[11]Feuil1!$A$27:$EP$48,15,FALSE)=""),0,HLOOKUP($AL59&amp;"a",[11]Feuil1!$A$27:$EP$48,15,FALSE))</f>
        <v>#N/A</v>
      </c>
      <c r="BL59" s="706" t="e">
        <f>IF(HLOOKUP($AL59&amp;"aa",[11]Feuil1!$A$27:$EP$48,15,FALSE)=FALSE,0,HLOOKUP($AL59&amp;"aa",[11]Feuil1!$A$27:$EP$48,15,FALSE))</f>
        <v>#N/A</v>
      </c>
      <c r="BM59" s="706" t="e">
        <f>IF(OR(HLOOKUP($AL59&amp;"a",[11]Feuil1!$A$27:$EP$48,16,FALSE)=FALSE,HLOOKUP($AL59&amp;"a",[11]Feuil1!$A$27:$EP$48,16,FALSE)=""),0,HLOOKUP($AL59&amp;"a",[11]Feuil1!$A$27:$EP$48,16,FALSE))</f>
        <v>#N/A</v>
      </c>
      <c r="BN59" s="706" t="e">
        <f>IF(HLOOKUP($AL59&amp;"aa",[11]Feuil1!$A$27:$EP$48,16,FALSE)=FALSE,0,HLOOKUP($AL59&amp;"aa",[11]Feuil1!$A$27:$EP$48,16,FALSE))</f>
        <v>#N/A</v>
      </c>
      <c r="BO59" s="706" t="e">
        <f>IF(OR(HLOOKUP($AL59&amp;"a",[11]Feuil1!$A$27:$EP$48,17,FALSE)=FALSE,HLOOKUP($AL59&amp;"a",[11]Feuil1!$A$27:$EP$48,17,FALSE)=""),0,HLOOKUP($AL59&amp;"a",[11]Feuil1!$A$27:$EP$48,17,FALSE))</f>
        <v>#N/A</v>
      </c>
      <c r="BP59" s="706" t="e">
        <f>IF(HLOOKUP($AL59&amp;"aa",[11]Feuil1!$A$27:$EP$48,17,FALSE)=FALSE,0,HLOOKUP($AL59&amp;"aa",[11]Feuil1!$A$27:$EP$48,17,FALSE))</f>
        <v>#N/A</v>
      </c>
      <c r="BQ59" s="706" t="e">
        <f>IF(OR(HLOOKUP($AL59&amp;"a",[11]Feuil1!$A$27:$EP$48,18,FALSE)=FALSE,HLOOKUP($AL59&amp;"a",[11]Feuil1!$A$27:$EP$48,18,FALSE)=""),0,HLOOKUP($AL59&amp;"a",[11]Feuil1!$A$27:$EP$48,18,FALSE))</f>
        <v>#N/A</v>
      </c>
      <c r="BR59" s="706" t="e">
        <f>IF(HLOOKUP($AL59&amp;"aa",[11]Feuil1!$A$27:$EP$48,18,FALSE)=FALSE,0,HLOOKUP($AL59&amp;"aa",[11]Feuil1!$A$27:$EP$48,18,FALSE))</f>
        <v>#N/A</v>
      </c>
      <c r="BS59" s="707" t="e">
        <f t="shared" si="29"/>
        <v>#N/A</v>
      </c>
      <c r="BT59" s="707" t="e">
        <f t="shared" si="30"/>
        <v>#N/A</v>
      </c>
      <c r="BU59" s="707">
        <f t="shared" si="31"/>
        <v>0</v>
      </c>
      <c r="BV59" s="561"/>
      <c r="BW59" s="561"/>
      <c r="BX59" s="814"/>
      <c r="BY59" s="814"/>
      <c r="BZ59" s="814"/>
      <c r="CA59" s="588"/>
      <c r="CB59" s="588"/>
      <c r="CC59" s="589"/>
      <c r="CD59" s="561"/>
      <c r="CE59" s="561"/>
      <c r="CF59" s="561"/>
      <c r="CG59" s="561"/>
      <c r="CH59" s="561"/>
      <c r="CI59" s="714"/>
      <c r="CK59" s="715">
        <f t="shared" si="36"/>
        <v>0</v>
      </c>
      <c r="CL59" s="591">
        <f t="shared" si="17"/>
        <v>0</v>
      </c>
      <c r="CM59" s="716" t="str">
        <f t="shared" si="47"/>
        <v/>
      </c>
      <c r="CN59" s="716" t="str">
        <f t="shared" si="47"/>
        <v/>
      </c>
      <c r="CO59" s="716" t="str">
        <f t="shared" si="45"/>
        <v/>
      </c>
      <c r="CP59" s="716" t="str">
        <f t="shared" si="45"/>
        <v/>
      </c>
      <c r="CQ59" s="716" t="str">
        <f t="shared" si="45"/>
        <v/>
      </c>
      <c r="CR59" s="716" t="str">
        <f t="shared" si="45"/>
        <v/>
      </c>
      <c r="CS59" s="716" t="str">
        <f t="shared" si="45"/>
        <v/>
      </c>
      <c r="CT59" s="716" t="str">
        <f t="shared" si="45"/>
        <v/>
      </c>
      <c r="CU59" s="716" t="str">
        <f t="shared" si="45"/>
        <v/>
      </c>
      <c r="CV59" s="717" t="str">
        <f t="shared" si="37"/>
        <v/>
      </c>
      <c r="CW59" s="718" t="str">
        <f>IF(E59=0,"",VLOOKUP(B59,[10]liste!AU:BD,10,FALSE))</f>
        <v/>
      </c>
      <c r="CX59" s="719">
        <f t="shared" si="19"/>
        <v>0</v>
      </c>
      <c r="CY59" s="720" t="str">
        <f t="shared" si="38"/>
        <v>NC</v>
      </c>
      <c r="CZ59" s="789"/>
      <c r="DA59" s="789"/>
      <c r="DB59" s="789"/>
      <c r="DC59" s="722" t="str">
        <f t="shared" si="20"/>
        <v/>
      </c>
      <c r="DE59" s="723" t="str">
        <f t="shared" si="21"/>
        <v/>
      </c>
      <c r="DF59" s="723" t="str">
        <f t="shared" si="22"/>
        <v/>
      </c>
      <c r="DG59" s="697" t="str">
        <f t="shared" si="23"/>
        <v/>
      </c>
      <c r="DH59" s="724" t="str">
        <f t="shared" si="24"/>
        <v/>
      </c>
      <c r="DI59" s="724" t="str">
        <f t="shared" si="39"/>
        <v/>
      </c>
      <c r="DJ59" s="719">
        <f t="shared" si="25"/>
        <v>0</v>
      </c>
      <c r="DK59" s="719">
        <f t="shared" si="26"/>
        <v>0</v>
      </c>
      <c r="DL59" s="719">
        <f t="shared" si="40"/>
        <v>0</v>
      </c>
      <c r="DM59" s="789"/>
      <c r="DN59" s="789"/>
      <c r="DO59" s="789"/>
      <c r="DP59" s="720" t="str">
        <f t="shared" si="41"/>
        <v>NC</v>
      </c>
      <c r="DQ59" s="591">
        <f>VLOOKUP(DG59,[10]résultats!$A$2:$DE$70,109,FALSE)</f>
        <v>0</v>
      </c>
      <c r="DR59" s="591">
        <f>VLOOKUP(DG59,[10]résultats!$A$2:$DG$70,111,FALSE)</f>
        <v>0</v>
      </c>
      <c r="DT59" s="591">
        <f t="shared" si="42"/>
        <v>0</v>
      </c>
      <c r="DU59" s="591">
        <f t="shared" si="43"/>
        <v>0</v>
      </c>
    </row>
    <row r="60" spans="1:125" s="554" customFormat="1" ht="20.25">
      <c r="A60" s="800" t="str">
        <f t="shared" si="9"/>
        <v/>
      </c>
      <c r="B60" s="801" t="str">
        <f>IF(E60=0,"",VLOOKUP(E60,[10]liste!AM:AN,2,FALSE))</f>
        <v/>
      </c>
      <c r="C60" s="802" t="str">
        <f>IF(E60=0,"",VLOOKUP(B60,[10]liste!AN:AP,3,FALSE))</f>
        <v/>
      </c>
      <c r="D60" s="803" t="str">
        <f t="shared" si="10"/>
        <v/>
      </c>
      <c r="E60" s="804">
        <f>LARGE([10]liste!AM:AM,45)</f>
        <v>0</v>
      </c>
      <c r="G60" s="805"/>
      <c r="H60" s="805"/>
      <c r="I60" s="804"/>
      <c r="J60" s="805"/>
      <c r="K60" s="805"/>
      <c r="L60" s="805"/>
      <c r="M60" s="804"/>
      <c r="N60" s="806"/>
      <c r="O60" s="806"/>
      <c r="P60" s="695">
        <f t="shared" ca="1" si="11"/>
        <v>0</v>
      </c>
      <c r="Q60" s="807">
        <f t="shared" si="12"/>
        <v>0</v>
      </c>
      <c r="R60" s="808">
        <f>IF(U60&lt;MAX(U60:U112)/7,"NS",IF(B60="",0,VLOOKUP(B60,[10]résultats!AX:DH,63,FALSE)))</f>
        <v>0</v>
      </c>
      <c r="S60" s="809" t="str">
        <f t="shared" si="13"/>
        <v/>
      </c>
      <c r="T60" s="807"/>
      <c r="U60" s="807"/>
      <c r="V60" s="810"/>
      <c r="W60" s="810"/>
      <c r="X60" s="810"/>
      <c r="Y60" s="811">
        <f t="shared" si="15"/>
        <v>0</v>
      </c>
      <c r="Z60" s="812">
        <f ca="1">SMALL([10]cal.Ph1!F77:F179,5)</f>
        <v>42259.000000555512</v>
      </c>
      <c r="AA60" s="813" t="str">
        <f ca="1">IF(Z60=50000,"",VLOOKUP(Z60,[10]cal.Ph1!$F$74:$I$201,4,FALSE))</f>
        <v>Tournoi de rentrée</v>
      </c>
      <c r="AB60" s="813"/>
      <c r="AC60" s="813"/>
      <c r="AD60" s="1157" t="str">
        <f ca="1">VLOOKUP(AA60,[10]cal.Ph1!$I$77:$J$204,2,FALSE)</f>
        <v>Parlez en autour de vous</v>
      </c>
      <c r="AE60" s="1157"/>
      <c r="AF60" s="1157"/>
      <c r="AG60" s="1157"/>
      <c r="AH60" s="1157"/>
      <c r="AI60" s="1157"/>
      <c r="AJ60" s="799"/>
      <c r="AK60" s="677">
        <f t="shared" si="28"/>
        <v>0</v>
      </c>
      <c r="AM60" s="706" t="e">
        <f>IF(OR(HLOOKUP($AL60&amp;"a",[11]Feuil1!$A$27:$EP$48,3,FALSE)=FALSE,HLOOKUP($AL60&amp;"a",[11]Feuil1!$A$27:$EP$48,3,FALSE)=""),0,HLOOKUP($AL60&amp;"a",[11]Feuil1!$A$27:$EP$48,3,FALSE))</f>
        <v>#N/A</v>
      </c>
      <c r="AN60" s="706" t="e">
        <f>IF(HLOOKUP($AL60&amp;"aa",[11]Feuil1!$A$27:$EP$48,3,FALSE)=FALSE,0,HLOOKUP($AL60&amp;"aa",[11]Feuil1!$A$27:$EP$48,3,FALSE))</f>
        <v>#N/A</v>
      </c>
      <c r="AO60" s="706" t="e">
        <f>IF(OR(HLOOKUP($AL60&amp;"a",[11]Feuil1!$A$27:$EP$48,4,FALSE)=FALSE,HLOOKUP($AL60&amp;"a",[11]Feuil1!$A$27:$EP$48,4,FALSE)=""),0,HLOOKUP($AL60&amp;"a",[11]Feuil1!$A$27:$EP$48,4,FALSE))</f>
        <v>#N/A</v>
      </c>
      <c r="AP60" s="706" t="e">
        <f>IF(HLOOKUP($AL60&amp;"aa",[11]Feuil1!$A$27:$EP$48,4,FALSE)=FALSE,0,HLOOKUP($AL60&amp;"aa",[11]Feuil1!$A$27:$EP$48,4,FALSE))</f>
        <v>#N/A</v>
      </c>
      <c r="AQ60" s="706" t="e">
        <f>IF(OR(HLOOKUP($AL60&amp;"a",[11]Feuil1!$A$27:$EP$48,5,FALSE)=FALSE,HLOOKUP($AL60&amp;"a",[11]Feuil1!$A$27:$EP$48,5,FALSE)=""),0,HLOOKUP($AL60&amp;"a",[11]Feuil1!$A$27:$EP$48,5,FALSE))</f>
        <v>#N/A</v>
      </c>
      <c r="AR60" s="706" t="e">
        <f>IF(HLOOKUP($AL60&amp;"aa",[11]Feuil1!$A$27:$EP$48,5,FALSE)=FALSE,0,HLOOKUP($AL60&amp;"aa",[11]Feuil1!$A$27:$EP$48,5,FALSE))</f>
        <v>#N/A</v>
      </c>
      <c r="AS60" s="706" t="e">
        <f>IF(OR(HLOOKUP($AL60&amp;"a",[11]Feuil1!$A$27:$EP$48,6,FALSE)=FALSE,HLOOKUP($AL60&amp;"a",[11]Feuil1!$A$27:$EP$48,6,FALSE)=""),0,HLOOKUP($AL60&amp;"a",[11]Feuil1!$A$27:$EP$48,6,FALSE))</f>
        <v>#N/A</v>
      </c>
      <c r="AT60" s="706" t="e">
        <f>IF(HLOOKUP($AL60&amp;"aa",[11]Feuil1!$A$27:$EP$48,6,FALSE)=FALSE,0,HLOOKUP($AL60&amp;"aa",[11]Feuil1!$A$27:$EP$48,6,FALSE))</f>
        <v>#N/A</v>
      </c>
      <c r="AU60" s="706" t="e">
        <f>IF(OR(HLOOKUP($AL60&amp;"a",[11]Feuil1!$A$27:$EP$48,7,FALSE)=FALSE,HLOOKUP($AL60&amp;"a",[11]Feuil1!$A$27:$EP$48,7,FALSE)=""),0,HLOOKUP($AL60&amp;"a",[11]Feuil1!$A$27:$EP$48,7,FALSE))</f>
        <v>#N/A</v>
      </c>
      <c r="AV60" s="706" t="e">
        <f>IF(HLOOKUP($AL60&amp;"aa",[11]Feuil1!$A$27:$EP$48,7,FALSE)=FALSE,0,HLOOKUP($AL60&amp;"aa",[11]Feuil1!$A$27:$EP$48,7,FALSE))</f>
        <v>#N/A</v>
      </c>
      <c r="AW60" s="706" t="e">
        <f>IF(OR(HLOOKUP($AL60&amp;"a",[11]Feuil1!$A$27:$EP$48,8,FALSE)=FALSE,HLOOKUP($AL60&amp;"a",[11]Feuil1!$A$27:$EP$48,8,FALSE)=""),0,HLOOKUP($AL60&amp;"a",[11]Feuil1!$A$27:$EP$48,8,FALSE))</f>
        <v>#N/A</v>
      </c>
      <c r="AX60" s="706" t="e">
        <f>IF(HLOOKUP($AL60&amp;"aa",[11]Feuil1!$A$27:$EP$48,8,FALSE)=FALSE,0,HLOOKUP($AL60&amp;"aa",[11]Feuil1!$A$27:$EP$48,8,FALSE))</f>
        <v>#N/A</v>
      </c>
      <c r="AY60" s="706" t="e">
        <f>IF(OR(HLOOKUP($AL60&amp;"a",[11]Feuil1!$A$27:$EP$48,9,FALSE)=FALSE,HLOOKUP($AL60&amp;"a",[11]Feuil1!$A$27:$EP$48,9,FALSE)=""),0,HLOOKUP($AL60&amp;"a",[11]Feuil1!$A$27:$EP$48,9,FALSE))</f>
        <v>#N/A</v>
      </c>
      <c r="AZ60" s="706" t="e">
        <f>IF(HLOOKUP($AL60&amp;"aa",[11]Feuil1!$A$27:$EP$48,9,FALSE)=FALSE,0,HLOOKUP($AL60&amp;"aa",[11]Feuil1!$A$27:$EP$48,9,FALSE))</f>
        <v>#N/A</v>
      </c>
      <c r="BA60" s="706" t="e">
        <f>IF(OR(HLOOKUP($AL60&amp;"a",[11]Feuil1!$A$27:$EP$48,10,FALSE)=FALSE,HLOOKUP($AL60&amp;"a",[11]Feuil1!$A$27:$EP$48,10,FALSE)=""),0,HLOOKUP($AL60&amp;"a",[11]Feuil1!$A$27:$EP$48,10,FALSE))</f>
        <v>#N/A</v>
      </c>
      <c r="BB60" s="706" t="e">
        <f>IF(HLOOKUP($AL60&amp;"aa",[11]Feuil1!$A$27:$EP$48,10,FALSE)=FALSE,0,HLOOKUP($AL60&amp;"aa",[11]Feuil1!$A$27:$EP$48,10,FALSE))</f>
        <v>#N/A</v>
      </c>
      <c r="BC60" s="706" t="e">
        <f>IF(OR(HLOOKUP($AL60&amp;"a",[11]Feuil1!$A$27:$EP$48,11,FALSE)=FALSE,HLOOKUP($AL60&amp;"a",[11]Feuil1!$A$27:$EP$48,11,FALSE)=""),0,HLOOKUP($AL60&amp;"a",[11]Feuil1!$A$27:$EP$48,11,FALSE))</f>
        <v>#N/A</v>
      </c>
      <c r="BD60" s="706" t="e">
        <f>IF(HLOOKUP($AL60&amp;"aa",[11]Feuil1!$A$27:$EP$48,11,FALSE)=FALSE,0,HLOOKUP($AL60&amp;"aa",[11]Feuil1!$A$27:$EP$48,11,FALSE))</f>
        <v>#N/A</v>
      </c>
      <c r="BE60" s="706" t="e">
        <f>IF(OR(HLOOKUP($AL60&amp;"a",[11]Feuil1!$A$27:$EP$48,12,FALSE)=FALSE,HLOOKUP($AL60&amp;"a",[11]Feuil1!$A$27:$EP$48,12,FALSE)=""),0,HLOOKUP($AL60&amp;"a",[11]Feuil1!$A$27:$EP$48,12,FALSE))</f>
        <v>#N/A</v>
      </c>
      <c r="BF60" s="706" t="e">
        <f>IF(HLOOKUP($AL60&amp;"aa",[11]Feuil1!$A$27:$EP$48,12,FALSE)=FALSE,0,HLOOKUP($AL60&amp;"aa",[11]Feuil1!$A$27:$EP$48,12,FALSE))</f>
        <v>#N/A</v>
      </c>
      <c r="BG60" s="706" t="e">
        <f>IF(OR(HLOOKUP($AL60&amp;"a",[11]Feuil1!$A$27:$EP$48,13,FALSE)=FALSE,HLOOKUP($AL60&amp;"a",[11]Feuil1!$A$27:$EP$48,13,FALSE)=""),0,HLOOKUP($AL60&amp;"a",[11]Feuil1!$A$27:$EP$48,13,FALSE))</f>
        <v>#N/A</v>
      </c>
      <c r="BH60" s="706" t="e">
        <f>IF(HLOOKUP($AL60&amp;"aa",[11]Feuil1!$A$27:$EP$48,13,FALSE)=FALSE,0,HLOOKUP($AL60&amp;"aa",[11]Feuil1!$A$27:$EP$48,13,FALSE))</f>
        <v>#N/A</v>
      </c>
      <c r="BI60" s="706" t="e">
        <f>IF(OR(HLOOKUP($AL60&amp;"a",[11]Feuil1!$A$27:$EP$48,14,FALSE)=FALSE,HLOOKUP($AL60&amp;"a",[11]Feuil1!$A$27:$EP$48,14,FALSE)=""),0,HLOOKUP($AL60&amp;"a",[11]Feuil1!$A$27:$EP$48,14,FALSE))</f>
        <v>#N/A</v>
      </c>
      <c r="BJ60" s="706" t="e">
        <f>IF(HLOOKUP($AL60&amp;"aa",[11]Feuil1!$A$27:$EP$48,14,FALSE)=FALSE,0,HLOOKUP($AL60&amp;"aa",[11]Feuil1!$A$27:$EP$48,14,FALSE))</f>
        <v>#N/A</v>
      </c>
      <c r="BK60" s="706" t="e">
        <f>IF(OR(HLOOKUP($AL60&amp;"a",[11]Feuil1!$A$27:$EP$48,15,FALSE)=FALSE,HLOOKUP($AL60&amp;"a",[11]Feuil1!$A$27:$EP$48,15,FALSE)=""),0,HLOOKUP($AL60&amp;"a",[11]Feuil1!$A$27:$EP$48,15,FALSE))</f>
        <v>#N/A</v>
      </c>
      <c r="BL60" s="706" t="e">
        <f>IF(HLOOKUP($AL60&amp;"aa",[11]Feuil1!$A$27:$EP$48,15,FALSE)=FALSE,0,HLOOKUP($AL60&amp;"aa",[11]Feuil1!$A$27:$EP$48,15,FALSE))</f>
        <v>#N/A</v>
      </c>
      <c r="BM60" s="706" t="e">
        <f>IF(OR(HLOOKUP($AL60&amp;"a",[11]Feuil1!$A$27:$EP$48,16,FALSE)=FALSE,HLOOKUP($AL60&amp;"a",[11]Feuil1!$A$27:$EP$48,16,FALSE)=""),0,HLOOKUP($AL60&amp;"a",[11]Feuil1!$A$27:$EP$48,16,FALSE))</f>
        <v>#N/A</v>
      </c>
      <c r="BN60" s="706" t="e">
        <f>IF(HLOOKUP($AL60&amp;"aa",[11]Feuil1!$A$27:$EP$48,16,FALSE)=FALSE,0,HLOOKUP($AL60&amp;"aa",[11]Feuil1!$A$27:$EP$48,16,FALSE))</f>
        <v>#N/A</v>
      </c>
      <c r="BO60" s="706" t="e">
        <f>IF(OR(HLOOKUP($AL60&amp;"a",[11]Feuil1!$A$27:$EP$48,17,FALSE)=FALSE,HLOOKUP($AL60&amp;"a",[11]Feuil1!$A$27:$EP$48,17,FALSE)=""),0,HLOOKUP($AL60&amp;"a",[11]Feuil1!$A$27:$EP$48,17,FALSE))</f>
        <v>#N/A</v>
      </c>
      <c r="BP60" s="706" t="e">
        <f>IF(HLOOKUP($AL60&amp;"aa",[11]Feuil1!$A$27:$EP$48,17,FALSE)=FALSE,0,HLOOKUP($AL60&amp;"aa",[11]Feuil1!$A$27:$EP$48,17,FALSE))</f>
        <v>#N/A</v>
      </c>
      <c r="BQ60" s="706" t="e">
        <f>IF(OR(HLOOKUP($AL60&amp;"a",[11]Feuil1!$A$27:$EP$48,18,FALSE)=FALSE,HLOOKUP($AL60&amp;"a",[11]Feuil1!$A$27:$EP$48,18,FALSE)=""),0,HLOOKUP($AL60&amp;"a",[11]Feuil1!$A$27:$EP$48,18,FALSE))</f>
        <v>#N/A</v>
      </c>
      <c r="BR60" s="706" t="e">
        <f>IF(HLOOKUP($AL60&amp;"aa",[11]Feuil1!$A$27:$EP$48,18,FALSE)=FALSE,0,HLOOKUP($AL60&amp;"aa",[11]Feuil1!$A$27:$EP$48,18,FALSE))</f>
        <v>#N/A</v>
      </c>
      <c r="BS60" s="707" t="e">
        <f t="shared" si="29"/>
        <v>#N/A</v>
      </c>
      <c r="BT60" s="707" t="e">
        <f t="shared" si="30"/>
        <v>#N/A</v>
      </c>
      <c r="BU60" s="707">
        <f t="shared" si="31"/>
        <v>0</v>
      </c>
      <c r="BV60" s="561"/>
      <c r="BW60" s="561"/>
      <c r="BX60" s="814"/>
      <c r="BY60" s="814"/>
      <c r="BZ60" s="814"/>
      <c r="CA60" s="588"/>
      <c r="CB60" s="588"/>
      <c r="CC60" s="589"/>
      <c r="CD60" s="561"/>
      <c r="CE60" s="561"/>
      <c r="CF60" s="561"/>
      <c r="CG60" s="561"/>
      <c r="CH60" s="561"/>
      <c r="CI60" s="714"/>
      <c r="CK60" s="715">
        <f t="shared" si="36"/>
        <v>0</v>
      </c>
      <c r="CL60" s="591">
        <f t="shared" si="17"/>
        <v>0</v>
      </c>
      <c r="CM60" s="716" t="str">
        <f t="shared" si="47"/>
        <v/>
      </c>
      <c r="CN60" s="716" t="str">
        <f t="shared" si="47"/>
        <v/>
      </c>
      <c r="CO60" s="716" t="str">
        <f t="shared" si="45"/>
        <v/>
      </c>
      <c r="CP60" s="716" t="str">
        <f t="shared" si="45"/>
        <v/>
      </c>
      <c r="CQ60" s="716" t="str">
        <f t="shared" si="45"/>
        <v/>
      </c>
      <c r="CR60" s="716" t="str">
        <f t="shared" si="45"/>
        <v/>
      </c>
      <c r="CS60" s="716" t="str">
        <f t="shared" si="45"/>
        <v/>
      </c>
      <c r="CT60" s="716" t="str">
        <f t="shared" si="45"/>
        <v/>
      </c>
      <c r="CU60" s="716" t="str">
        <f t="shared" si="45"/>
        <v/>
      </c>
      <c r="CV60" s="717" t="str">
        <f t="shared" si="37"/>
        <v/>
      </c>
      <c r="CW60" s="718" t="str">
        <f>IF(E60=0,"",VLOOKUP(B60,[10]liste!AU:BD,10,FALSE))</f>
        <v/>
      </c>
      <c r="CX60" s="719">
        <f t="shared" si="19"/>
        <v>0</v>
      </c>
      <c r="CY60" s="720" t="str">
        <f t="shared" si="38"/>
        <v>NC</v>
      </c>
      <c r="CZ60" s="789"/>
      <c r="DA60" s="789"/>
      <c r="DB60" s="789"/>
      <c r="DC60" s="722" t="str">
        <f t="shared" si="20"/>
        <v/>
      </c>
      <c r="DE60" s="723" t="str">
        <f t="shared" si="21"/>
        <v/>
      </c>
      <c r="DF60" s="723" t="str">
        <f t="shared" si="22"/>
        <v/>
      </c>
      <c r="DG60" s="697" t="str">
        <f t="shared" si="23"/>
        <v/>
      </c>
      <c r="DH60" s="724" t="str">
        <f t="shared" si="24"/>
        <v/>
      </c>
      <c r="DI60" s="724" t="str">
        <f t="shared" si="39"/>
        <v/>
      </c>
      <c r="DJ60" s="719">
        <f t="shared" si="25"/>
        <v>0</v>
      </c>
      <c r="DK60" s="719">
        <f t="shared" si="26"/>
        <v>0</v>
      </c>
      <c r="DL60" s="719">
        <f t="shared" si="40"/>
        <v>0</v>
      </c>
      <c r="DM60" s="789"/>
      <c r="DN60" s="789"/>
      <c r="DO60" s="789"/>
      <c r="DP60" s="720" t="str">
        <f t="shared" si="41"/>
        <v>NC</v>
      </c>
      <c r="DQ60" s="591">
        <f>VLOOKUP(DG60,[10]résultats!$A$2:$DE$70,109,FALSE)</f>
        <v>0</v>
      </c>
      <c r="DR60" s="591">
        <f>VLOOKUP(DG60,[10]résultats!$A$2:$DG$70,111,FALSE)</f>
        <v>0</v>
      </c>
      <c r="DT60" s="591">
        <f t="shared" si="42"/>
        <v>0</v>
      </c>
      <c r="DU60" s="591">
        <f t="shared" si="43"/>
        <v>0</v>
      </c>
    </row>
    <row r="61" spans="1:125" s="554" customFormat="1" ht="20.25">
      <c r="A61" s="800" t="str">
        <f t="shared" si="9"/>
        <v/>
      </c>
      <c r="B61" s="801" t="str">
        <f>IF(E61=0,"",VLOOKUP(E61,[10]liste!AM:AN,2,FALSE))</f>
        <v/>
      </c>
      <c r="C61" s="802" t="str">
        <f>IF(E61=0,"",VLOOKUP(B61,[10]liste!AN:AP,3,FALSE))</f>
        <v/>
      </c>
      <c r="D61" s="803" t="str">
        <f t="shared" si="10"/>
        <v/>
      </c>
      <c r="E61" s="804">
        <f>LARGE([10]liste!AM:AM,46)</f>
        <v>0</v>
      </c>
      <c r="G61" s="805"/>
      <c r="H61" s="805"/>
      <c r="I61" s="804"/>
      <c r="J61" s="805"/>
      <c r="K61" s="805"/>
      <c r="L61" s="805"/>
      <c r="M61" s="804"/>
      <c r="N61" s="806"/>
      <c r="O61" s="806"/>
      <c r="P61" s="695">
        <f t="shared" ca="1" si="11"/>
        <v>0</v>
      </c>
      <c r="Q61" s="807">
        <f t="shared" si="12"/>
        <v>0</v>
      </c>
      <c r="R61" s="808">
        <f>IF(U61&lt;MAX(U61:U113)/7,"NS",IF(B61="",0,VLOOKUP(B61,[10]résultats!AX:DH,63,FALSE)))</f>
        <v>0</v>
      </c>
      <c r="S61" s="809" t="str">
        <f t="shared" si="13"/>
        <v/>
      </c>
      <c r="T61" s="807"/>
      <c r="U61" s="807"/>
      <c r="V61" s="810"/>
      <c r="W61" s="810"/>
      <c r="X61" s="810"/>
      <c r="Y61" s="811">
        <f t="shared" si="15"/>
        <v>0</v>
      </c>
      <c r="Z61" s="812">
        <f ca="1">SMALL([10]cal.Ph1!F77:F179,6)</f>
        <v>42266.000000443426</v>
      </c>
      <c r="AA61" s="813" t="str">
        <f ca="1">IF(Z61=50000,"",VLOOKUP(Z61,[10]cal.Ph1!$F$74:$I$201,4,FALSE))</f>
        <v xml:space="preserve"> Ass.Gén. 56</v>
      </c>
      <c r="AB61" s="813"/>
      <c r="AC61" s="813"/>
      <c r="AD61" s="1157">
        <f ca="1">VLOOKUP(AA61,[10]cal.Ph1!$I$77:$J$204,2,FALSE)</f>
        <v>0</v>
      </c>
      <c r="AE61" s="1157"/>
      <c r="AF61" s="1157"/>
      <c r="AG61" s="1157"/>
      <c r="AH61" s="1157"/>
      <c r="AI61" s="1157"/>
      <c r="AJ61" s="799"/>
      <c r="AK61" s="677">
        <f t="shared" si="28"/>
        <v>0</v>
      </c>
      <c r="AM61" s="706" t="e">
        <f>IF(OR(HLOOKUP($AL61&amp;"a",[11]Feuil1!$A$27:$EP$48,3,FALSE)=FALSE,HLOOKUP($AL61&amp;"a",[11]Feuil1!$A$27:$EP$48,3,FALSE)=""),0,HLOOKUP($AL61&amp;"a",[11]Feuil1!$A$27:$EP$48,3,FALSE))</f>
        <v>#N/A</v>
      </c>
      <c r="AN61" s="706" t="e">
        <f>IF(HLOOKUP($AL61&amp;"aa",[11]Feuil1!$A$27:$EP$48,3,FALSE)=FALSE,0,HLOOKUP($AL61&amp;"aa",[11]Feuil1!$A$27:$EP$48,3,FALSE))</f>
        <v>#N/A</v>
      </c>
      <c r="AO61" s="706" t="e">
        <f>IF(OR(HLOOKUP($AL61&amp;"a",[11]Feuil1!$A$27:$EP$48,4,FALSE)=FALSE,HLOOKUP($AL61&amp;"a",[11]Feuil1!$A$27:$EP$48,4,FALSE)=""),0,HLOOKUP($AL61&amp;"a",[11]Feuil1!$A$27:$EP$48,4,FALSE))</f>
        <v>#N/A</v>
      </c>
      <c r="AP61" s="706" t="e">
        <f>IF(HLOOKUP($AL61&amp;"aa",[11]Feuil1!$A$27:$EP$48,4,FALSE)=FALSE,0,HLOOKUP($AL61&amp;"aa",[11]Feuil1!$A$27:$EP$48,4,FALSE))</f>
        <v>#N/A</v>
      </c>
      <c r="AQ61" s="706" t="e">
        <f>IF(OR(HLOOKUP($AL61&amp;"a",[11]Feuil1!$A$27:$EP$48,5,FALSE)=FALSE,HLOOKUP($AL61&amp;"a",[11]Feuil1!$A$27:$EP$48,5,FALSE)=""),0,HLOOKUP($AL61&amp;"a",[11]Feuil1!$A$27:$EP$48,5,FALSE))</f>
        <v>#N/A</v>
      </c>
      <c r="AR61" s="706" t="e">
        <f>IF(HLOOKUP($AL61&amp;"aa",[11]Feuil1!$A$27:$EP$48,5,FALSE)=FALSE,0,HLOOKUP($AL61&amp;"aa",[11]Feuil1!$A$27:$EP$48,5,FALSE))</f>
        <v>#N/A</v>
      </c>
      <c r="AS61" s="706" t="e">
        <f>IF(OR(HLOOKUP($AL61&amp;"a",[11]Feuil1!$A$27:$EP$48,6,FALSE)=FALSE,HLOOKUP($AL61&amp;"a",[11]Feuil1!$A$27:$EP$48,6,FALSE)=""),0,HLOOKUP($AL61&amp;"a",[11]Feuil1!$A$27:$EP$48,6,FALSE))</f>
        <v>#N/A</v>
      </c>
      <c r="AT61" s="706" t="e">
        <f>IF(HLOOKUP($AL61&amp;"aa",[11]Feuil1!$A$27:$EP$48,6,FALSE)=FALSE,0,HLOOKUP($AL61&amp;"aa",[11]Feuil1!$A$27:$EP$48,6,FALSE))</f>
        <v>#N/A</v>
      </c>
      <c r="AU61" s="706" t="e">
        <f>IF(OR(HLOOKUP($AL61&amp;"a",[11]Feuil1!$A$27:$EP$48,7,FALSE)=FALSE,HLOOKUP($AL61&amp;"a",[11]Feuil1!$A$27:$EP$48,7,FALSE)=""),0,HLOOKUP($AL61&amp;"a",[11]Feuil1!$A$27:$EP$48,7,FALSE))</f>
        <v>#N/A</v>
      </c>
      <c r="AV61" s="706" t="e">
        <f>IF(HLOOKUP($AL61&amp;"aa",[11]Feuil1!$A$27:$EP$48,7,FALSE)=FALSE,0,HLOOKUP($AL61&amp;"aa",[11]Feuil1!$A$27:$EP$48,7,FALSE))</f>
        <v>#N/A</v>
      </c>
      <c r="AW61" s="706" t="e">
        <f>IF(OR(HLOOKUP($AL61&amp;"a",[11]Feuil1!$A$27:$EP$48,8,FALSE)=FALSE,HLOOKUP($AL61&amp;"a",[11]Feuil1!$A$27:$EP$48,8,FALSE)=""),0,HLOOKUP($AL61&amp;"a",[11]Feuil1!$A$27:$EP$48,8,FALSE))</f>
        <v>#N/A</v>
      </c>
      <c r="AX61" s="706" t="e">
        <f>IF(HLOOKUP($AL61&amp;"aa",[11]Feuil1!$A$27:$EP$48,8,FALSE)=FALSE,0,HLOOKUP($AL61&amp;"aa",[11]Feuil1!$A$27:$EP$48,8,FALSE))</f>
        <v>#N/A</v>
      </c>
      <c r="AY61" s="706" t="e">
        <f>IF(OR(HLOOKUP($AL61&amp;"a",[11]Feuil1!$A$27:$EP$48,9,FALSE)=FALSE,HLOOKUP($AL61&amp;"a",[11]Feuil1!$A$27:$EP$48,9,FALSE)=""),0,HLOOKUP($AL61&amp;"a",[11]Feuil1!$A$27:$EP$48,9,FALSE))</f>
        <v>#N/A</v>
      </c>
      <c r="AZ61" s="706" t="e">
        <f>IF(HLOOKUP($AL61&amp;"aa",[11]Feuil1!$A$27:$EP$48,9,FALSE)=FALSE,0,HLOOKUP($AL61&amp;"aa",[11]Feuil1!$A$27:$EP$48,9,FALSE))</f>
        <v>#N/A</v>
      </c>
      <c r="BA61" s="706" t="e">
        <f>IF(OR(HLOOKUP($AL61&amp;"a",[11]Feuil1!$A$27:$EP$48,10,FALSE)=FALSE,HLOOKUP($AL61&amp;"a",[11]Feuil1!$A$27:$EP$48,10,FALSE)=""),0,HLOOKUP($AL61&amp;"a",[11]Feuil1!$A$27:$EP$48,10,FALSE))</f>
        <v>#N/A</v>
      </c>
      <c r="BB61" s="706" t="e">
        <f>IF(HLOOKUP($AL61&amp;"aa",[11]Feuil1!$A$27:$EP$48,10,FALSE)=FALSE,0,HLOOKUP($AL61&amp;"aa",[11]Feuil1!$A$27:$EP$48,10,FALSE))</f>
        <v>#N/A</v>
      </c>
      <c r="BC61" s="706" t="e">
        <f>IF(OR(HLOOKUP($AL61&amp;"a",[11]Feuil1!$A$27:$EP$48,11,FALSE)=FALSE,HLOOKUP($AL61&amp;"a",[11]Feuil1!$A$27:$EP$48,11,FALSE)=""),0,HLOOKUP($AL61&amp;"a",[11]Feuil1!$A$27:$EP$48,11,FALSE))</f>
        <v>#N/A</v>
      </c>
      <c r="BD61" s="706" t="e">
        <f>IF(HLOOKUP($AL61&amp;"aa",[11]Feuil1!$A$27:$EP$48,11,FALSE)=FALSE,0,HLOOKUP($AL61&amp;"aa",[11]Feuil1!$A$27:$EP$48,11,FALSE))</f>
        <v>#N/A</v>
      </c>
      <c r="BE61" s="706" t="e">
        <f>IF(OR(HLOOKUP($AL61&amp;"a",[11]Feuil1!$A$27:$EP$48,12,FALSE)=FALSE,HLOOKUP($AL61&amp;"a",[11]Feuil1!$A$27:$EP$48,12,FALSE)=""),0,HLOOKUP($AL61&amp;"a",[11]Feuil1!$A$27:$EP$48,12,FALSE))</f>
        <v>#N/A</v>
      </c>
      <c r="BF61" s="706" t="e">
        <f>IF(HLOOKUP($AL61&amp;"aa",[11]Feuil1!$A$27:$EP$48,12,FALSE)=FALSE,0,HLOOKUP($AL61&amp;"aa",[11]Feuil1!$A$27:$EP$48,12,FALSE))</f>
        <v>#N/A</v>
      </c>
      <c r="BG61" s="706" t="e">
        <f>IF(OR(HLOOKUP($AL61&amp;"a",[11]Feuil1!$A$27:$EP$48,13,FALSE)=FALSE,HLOOKUP($AL61&amp;"a",[11]Feuil1!$A$27:$EP$48,13,FALSE)=""),0,HLOOKUP($AL61&amp;"a",[11]Feuil1!$A$27:$EP$48,13,FALSE))</f>
        <v>#N/A</v>
      </c>
      <c r="BH61" s="706" t="e">
        <f>IF(HLOOKUP($AL61&amp;"aa",[11]Feuil1!$A$27:$EP$48,13,FALSE)=FALSE,0,HLOOKUP($AL61&amp;"aa",[11]Feuil1!$A$27:$EP$48,13,FALSE))</f>
        <v>#N/A</v>
      </c>
      <c r="BI61" s="706" t="e">
        <f>IF(OR(HLOOKUP($AL61&amp;"a",[11]Feuil1!$A$27:$EP$48,14,FALSE)=FALSE,HLOOKUP($AL61&amp;"a",[11]Feuil1!$A$27:$EP$48,14,FALSE)=""),0,HLOOKUP($AL61&amp;"a",[11]Feuil1!$A$27:$EP$48,14,FALSE))</f>
        <v>#N/A</v>
      </c>
      <c r="BJ61" s="706" t="e">
        <f>IF(HLOOKUP($AL61&amp;"aa",[11]Feuil1!$A$27:$EP$48,14,FALSE)=FALSE,0,HLOOKUP($AL61&amp;"aa",[11]Feuil1!$A$27:$EP$48,14,FALSE))</f>
        <v>#N/A</v>
      </c>
      <c r="BK61" s="706" t="e">
        <f>IF(OR(HLOOKUP($AL61&amp;"a",[11]Feuil1!$A$27:$EP$48,15,FALSE)=FALSE,HLOOKUP($AL61&amp;"a",[11]Feuil1!$A$27:$EP$48,15,FALSE)=""),0,HLOOKUP($AL61&amp;"a",[11]Feuil1!$A$27:$EP$48,15,FALSE))</f>
        <v>#N/A</v>
      </c>
      <c r="BL61" s="706" t="e">
        <f>IF(HLOOKUP($AL61&amp;"aa",[11]Feuil1!$A$27:$EP$48,15,FALSE)=FALSE,0,HLOOKUP($AL61&amp;"aa",[11]Feuil1!$A$27:$EP$48,15,FALSE))</f>
        <v>#N/A</v>
      </c>
      <c r="BM61" s="706" t="e">
        <f>IF(OR(HLOOKUP($AL61&amp;"a",[11]Feuil1!$A$27:$EP$48,16,FALSE)=FALSE,HLOOKUP($AL61&amp;"a",[11]Feuil1!$A$27:$EP$48,16,FALSE)=""),0,HLOOKUP($AL61&amp;"a",[11]Feuil1!$A$27:$EP$48,16,FALSE))</f>
        <v>#N/A</v>
      </c>
      <c r="BN61" s="706" t="e">
        <f>IF(HLOOKUP($AL61&amp;"aa",[11]Feuil1!$A$27:$EP$48,16,FALSE)=FALSE,0,HLOOKUP($AL61&amp;"aa",[11]Feuil1!$A$27:$EP$48,16,FALSE))</f>
        <v>#N/A</v>
      </c>
      <c r="BO61" s="706" t="e">
        <f>IF(OR(HLOOKUP($AL61&amp;"a",[11]Feuil1!$A$27:$EP$48,17,FALSE)=FALSE,HLOOKUP($AL61&amp;"a",[11]Feuil1!$A$27:$EP$48,17,FALSE)=""),0,HLOOKUP($AL61&amp;"a",[11]Feuil1!$A$27:$EP$48,17,FALSE))</f>
        <v>#N/A</v>
      </c>
      <c r="BP61" s="706" t="e">
        <f>IF(HLOOKUP($AL61&amp;"aa",[11]Feuil1!$A$27:$EP$48,17,FALSE)=FALSE,0,HLOOKUP($AL61&amp;"aa",[11]Feuil1!$A$27:$EP$48,17,FALSE))</f>
        <v>#N/A</v>
      </c>
      <c r="BQ61" s="706" t="e">
        <f>IF(OR(HLOOKUP($AL61&amp;"a",[11]Feuil1!$A$27:$EP$48,18,FALSE)=FALSE,HLOOKUP($AL61&amp;"a",[11]Feuil1!$A$27:$EP$48,18,FALSE)=""),0,HLOOKUP($AL61&amp;"a",[11]Feuil1!$A$27:$EP$48,18,FALSE))</f>
        <v>#N/A</v>
      </c>
      <c r="BR61" s="706" t="e">
        <f>IF(HLOOKUP($AL61&amp;"aa",[11]Feuil1!$A$27:$EP$48,18,FALSE)=FALSE,0,HLOOKUP($AL61&amp;"aa",[11]Feuil1!$A$27:$EP$48,18,FALSE))</f>
        <v>#N/A</v>
      </c>
      <c r="BS61" s="707" t="e">
        <f t="shared" si="29"/>
        <v>#N/A</v>
      </c>
      <c r="BT61" s="707" t="e">
        <f t="shared" si="30"/>
        <v>#N/A</v>
      </c>
      <c r="BU61" s="707">
        <f t="shared" si="31"/>
        <v>0</v>
      </c>
      <c r="BV61" s="561"/>
      <c r="BW61" s="561"/>
      <c r="BX61" s="814"/>
      <c r="BY61" s="814"/>
      <c r="BZ61" s="814"/>
      <c r="CA61" s="588"/>
      <c r="CB61" s="588"/>
      <c r="CC61" s="589"/>
      <c r="CD61" s="561"/>
      <c r="CE61" s="561"/>
      <c r="CF61" s="561"/>
      <c r="CG61" s="561"/>
      <c r="CH61" s="561"/>
      <c r="CI61" s="714"/>
      <c r="CK61" s="715">
        <f t="shared" si="36"/>
        <v>0</v>
      </c>
      <c r="CL61" s="591">
        <f t="shared" si="17"/>
        <v>0</v>
      </c>
      <c r="CM61" s="716" t="str">
        <f t="shared" si="47"/>
        <v/>
      </c>
      <c r="CN61" s="716" t="str">
        <f t="shared" si="47"/>
        <v/>
      </c>
      <c r="CO61" s="716" t="str">
        <f t="shared" si="45"/>
        <v/>
      </c>
      <c r="CP61" s="716" t="str">
        <f t="shared" si="45"/>
        <v/>
      </c>
      <c r="CQ61" s="716" t="str">
        <f t="shared" si="45"/>
        <v/>
      </c>
      <c r="CR61" s="716" t="str">
        <f t="shared" si="45"/>
        <v/>
      </c>
      <c r="CS61" s="716" t="str">
        <f t="shared" ref="CS61:CU82" si="48">IF(L61="","",L61-K61)</f>
        <v/>
      </c>
      <c r="CT61" s="716" t="str">
        <f t="shared" si="48"/>
        <v/>
      </c>
      <c r="CU61" s="716" t="str">
        <f t="shared" si="48"/>
        <v/>
      </c>
      <c r="CV61" s="717" t="str">
        <f t="shared" si="37"/>
        <v/>
      </c>
      <c r="CW61" s="718" t="str">
        <f>IF(E61=0,"",VLOOKUP(B61,[10]liste!AU:BD,10,FALSE))</f>
        <v/>
      </c>
      <c r="CX61" s="719">
        <f t="shared" si="19"/>
        <v>0</v>
      </c>
      <c r="CY61" s="720" t="str">
        <f t="shared" si="38"/>
        <v>NC</v>
      </c>
      <c r="CZ61" s="789"/>
      <c r="DA61" s="789"/>
      <c r="DB61" s="789"/>
      <c r="DC61" s="722" t="str">
        <f t="shared" si="20"/>
        <v/>
      </c>
      <c r="DE61" s="723" t="str">
        <f t="shared" si="21"/>
        <v/>
      </c>
      <c r="DF61" s="723" t="str">
        <f t="shared" si="22"/>
        <v/>
      </c>
      <c r="DG61" s="697" t="str">
        <f t="shared" si="23"/>
        <v/>
      </c>
      <c r="DH61" s="724" t="str">
        <f t="shared" si="24"/>
        <v/>
      </c>
      <c r="DI61" s="724" t="str">
        <f t="shared" si="39"/>
        <v/>
      </c>
      <c r="DJ61" s="719">
        <f t="shared" si="25"/>
        <v>0</v>
      </c>
      <c r="DK61" s="719">
        <f t="shared" si="26"/>
        <v>0</v>
      </c>
      <c r="DL61" s="719">
        <f t="shared" si="40"/>
        <v>0</v>
      </c>
      <c r="DM61" s="789"/>
      <c r="DN61" s="789"/>
      <c r="DO61" s="789"/>
      <c r="DP61" s="720" t="str">
        <f t="shared" si="41"/>
        <v>NC</v>
      </c>
      <c r="DQ61" s="591">
        <f>VLOOKUP(DG61,[10]résultats!$A$2:$DE$70,109,FALSE)</f>
        <v>0</v>
      </c>
      <c r="DR61" s="591">
        <f>VLOOKUP(DG61,[10]résultats!$A$2:$DG$70,111,FALSE)</f>
        <v>0</v>
      </c>
      <c r="DU61" s="591">
        <f t="shared" si="43"/>
        <v>0</v>
      </c>
    </row>
    <row r="62" spans="1:125" s="554" customFormat="1" ht="20.25">
      <c r="A62" s="800" t="str">
        <f t="shared" si="9"/>
        <v/>
      </c>
      <c r="B62" s="801" t="str">
        <f>IF(E62=0,"",VLOOKUP(E62,[10]liste!AM:AN,2,FALSE))</f>
        <v/>
      </c>
      <c r="C62" s="802" t="str">
        <f>IF(E62=0,"",VLOOKUP(B62,[10]liste!AN:AP,3,FALSE))</f>
        <v/>
      </c>
      <c r="D62" s="803" t="str">
        <f t="shared" si="10"/>
        <v/>
      </c>
      <c r="E62" s="804">
        <f>LARGE([10]liste!AM:AM,47)</f>
        <v>0</v>
      </c>
      <c r="G62" s="805"/>
      <c r="H62" s="805"/>
      <c r="I62" s="804"/>
      <c r="J62" s="805"/>
      <c r="K62" s="805"/>
      <c r="L62" s="805"/>
      <c r="M62" s="804"/>
      <c r="N62" s="806"/>
      <c r="O62" s="806"/>
      <c r="P62" s="695">
        <f t="shared" ca="1" si="11"/>
        <v>0</v>
      </c>
      <c r="Q62" s="807">
        <f t="shared" si="12"/>
        <v>0</v>
      </c>
      <c r="R62" s="808">
        <f>IF(B62="",0,VLOOKUP(B62,[10]résultats!AX:DH,63,FALSE))</f>
        <v>0</v>
      </c>
      <c r="S62" s="809" t="str">
        <f t="shared" si="13"/>
        <v/>
      </c>
      <c r="T62" s="807"/>
      <c r="U62" s="807"/>
      <c r="V62" s="810"/>
      <c r="W62" s="810"/>
      <c r="X62" s="810"/>
      <c r="Y62" s="811">
        <f t="shared" si="15"/>
        <v>0</v>
      </c>
      <c r="Z62" s="812">
        <f ca="1">SMALL([10]cal.Ph1!F77:F179,7)</f>
        <v>42269.000000416447</v>
      </c>
      <c r="AA62" s="813" t="str">
        <f ca="1">IF(Z62=50000,"",VLOOKUP(Z62,[10]cal.Ph1!$F$74:$I$201,4,FALSE))</f>
        <v>comité directeur</v>
      </c>
      <c r="AB62" s="813"/>
      <c r="AC62" s="813"/>
      <c r="AD62" s="1157" t="str">
        <f ca="1">VLOOKUP(AA62,[10]cal.Ph1!$I$77:$J$204,2,FALSE)</f>
        <v>à 20h30 au "Clos des Moines"</v>
      </c>
      <c r="AE62" s="1157"/>
      <c r="AF62" s="1157"/>
      <c r="AG62" s="1157"/>
      <c r="AH62" s="1157"/>
      <c r="AI62" s="1157"/>
      <c r="AJ62" s="799"/>
      <c r="AK62" s="677">
        <f t="shared" si="28"/>
        <v>0</v>
      </c>
      <c r="AM62" s="706" t="e">
        <f>IF(OR(HLOOKUP($AL62&amp;"a",[11]Feuil1!$A$27:$EP$48,3,FALSE)=FALSE,HLOOKUP($AL62&amp;"a",[11]Feuil1!$A$27:$EP$48,3,FALSE)=""),0,HLOOKUP($AL62&amp;"a",[11]Feuil1!$A$27:$EP$48,3,FALSE))</f>
        <v>#N/A</v>
      </c>
      <c r="AN62" s="706" t="e">
        <f>IF(HLOOKUP($AL62&amp;"aa",[11]Feuil1!$A$27:$EP$48,3,FALSE)=FALSE,0,HLOOKUP($AL62&amp;"aa",[11]Feuil1!$A$27:$EP$48,3,FALSE))</f>
        <v>#N/A</v>
      </c>
      <c r="AO62" s="706" t="e">
        <f>IF(OR(HLOOKUP($AL62&amp;"a",[11]Feuil1!$A$27:$EP$48,4,FALSE)=FALSE,HLOOKUP($AL62&amp;"a",[11]Feuil1!$A$27:$EP$48,4,FALSE)=""),0,HLOOKUP($AL62&amp;"a",[11]Feuil1!$A$27:$EP$48,4,FALSE))</f>
        <v>#N/A</v>
      </c>
      <c r="AP62" s="706" t="e">
        <f>IF(HLOOKUP($AL62&amp;"aa",[11]Feuil1!$A$27:$EP$48,4,FALSE)=FALSE,0,HLOOKUP($AL62&amp;"aa",[11]Feuil1!$A$27:$EP$48,4,FALSE))</f>
        <v>#N/A</v>
      </c>
      <c r="AQ62" s="706" t="e">
        <f>IF(OR(HLOOKUP($AL62&amp;"a",[11]Feuil1!$A$27:$EP$48,5,FALSE)=FALSE,HLOOKUP($AL62&amp;"a",[11]Feuil1!$A$27:$EP$48,5,FALSE)=""),0,HLOOKUP($AL62&amp;"a",[11]Feuil1!$A$27:$EP$48,5,FALSE))</f>
        <v>#N/A</v>
      </c>
      <c r="AR62" s="706" t="e">
        <f>IF(HLOOKUP($AL62&amp;"aa",[11]Feuil1!$A$27:$EP$48,5,FALSE)=FALSE,0,HLOOKUP($AL62&amp;"aa",[11]Feuil1!$A$27:$EP$48,5,FALSE))</f>
        <v>#N/A</v>
      </c>
      <c r="AS62" s="706" t="e">
        <f>IF(OR(HLOOKUP($AL62&amp;"a",[11]Feuil1!$A$27:$EP$48,6,FALSE)=FALSE,HLOOKUP($AL62&amp;"a",[11]Feuil1!$A$27:$EP$48,6,FALSE)=""),0,HLOOKUP($AL62&amp;"a",[11]Feuil1!$A$27:$EP$48,6,FALSE))</f>
        <v>#N/A</v>
      </c>
      <c r="AT62" s="706" t="e">
        <f>IF(HLOOKUP($AL62&amp;"aa",[11]Feuil1!$A$27:$EP$48,6,FALSE)=FALSE,0,HLOOKUP($AL62&amp;"aa",[11]Feuil1!$A$27:$EP$48,6,FALSE))</f>
        <v>#N/A</v>
      </c>
      <c r="AU62" s="706" t="e">
        <f>IF(OR(HLOOKUP($AL62&amp;"a",[11]Feuil1!$A$27:$EP$48,7,FALSE)=FALSE,HLOOKUP($AL62&amp;"a",[11]Feuil1!$A$27:$EP$48,7,FALSE)=""),0,HLOOKUP($AL62&amp;"a",[11]Feuil1!$A$27:$EP$48,7,FALSE))</f>
        <v>#N/A</v>
      </c>
      <c r="AV62" s="706" t="e">
        <f>IF(HLOOKUP($AL62&amp;"aa",[11]Feuil1!$A$27:$EP$48,7,FALSE)=FALSE,0,HLOOKUP($AL62&amp;"aa",[11]Feuil1!$A$27:$EP$48,7,FALSE))</f>
        <v>#N/A</v>
      </c>
      <c r="AW62" s="706" t="e">
        <f>IF(OR(HLOOKUP($AL62&amp;"a",[11]Feuil1!$A$27:$EP$48,8,FALSE)=FALSE,HLOOKUP($AL62&amp;"a",[11]Feuil1!$A$27:$EP$48,8,FALSE)=""),0,HLOOKUP($AL62&amp;"a",[11]Feuil1!$A$27:$EP$48,8,FALSE))</f>
        <v>#N/A</v>
      </c>
      <c r="AX62" s="706" t="e">
        <f>IF(HLOOKUP($AL62&amp;"aa",[11]Feuil1!$A$27:$EP$48,8,FALSE)=FALSE,0,HLOOKUP($AL62&amp;"aa",[11]Feuil1!$A$27:$EP$48,8,FALSE))</f>
        <v>#N/A</v>
      </c>
      <c r="AY62" s="706" t="e">
        <f>IF(OR(HLOOKUP($AL62&amp;"a",[11]Feuil1!$A$27:$EP$48,9,FALSE)=FALSE,HLOOKUP($AL62&amp;"a",[11]Feuil1!$A$27:$EP$48,9,FALSE)=""),0,HLOOKUP($AL62&amp;"a",[11]Feuil1!$A$27:$EP$48,9,FALSE))</f>
        <v>#N/A</v>
      </c>
      <c r="AZ62" s="706" t="e">
        <f>IF(HLOOKUP($AL62&amp;"aa",[11]Feuil1!$A$27:$EP$48,9,FALSE)=FALSE,0,HLOOKUP($AL62&amp;"aa",[11]Feuil1!$A$27:$EP$48,9,FALSE))</f>
        <v>#N/A</v>
      </c>
      <c r="BA62" s="706" t="e">
        <f>IF(OR(HLOOKUP($AL62&amp;"a",[11]Feuil1!$A$27:$EP$48,10,FALSE)=FALSE,HLOOKUP($AL62&amp;"a",[11]Feuil1!$A$27:$EP$48,10,FALSE)=""),0,HLOOKUP($AL62&amp;"a",[11]Feuil1!$A$27:$EP$48,10,FALSE))</f>
        <v>#N/A</v>
      </c>
      <c r="BB62" s="706" t="e">
        <f>IF(HLOOKUP($AL62&amp;"aa",[11]Feuil1!$A$27:$EP$48,10,FALSE)=FALSE,0,HLOOKUP($AL62&amp;"aa",[11]Feuil1!$A$27:$EP$48,10,FALSE))</f>
        <v>#N/A</v>
      </c>
      <c r="BC62" s="706" t="e">
        <f>IF(OR(HLOOKUP($AL62&amp;"a",[11]Feuil1!$A$27:$EP$48,11,FALSE)=FALSE,HLOOKUP($AL62&amp;"a",[11]Feuil1!$A$27:$EP$48,11,FALSE)=""),0,HLOOKUP($AL62&amp;"a",[11]Feuil1!$A$27:$EP$48,11,FALSE))</f>
        <v>#N/A</v>
      </c>
      <c r="BD62" s="706" t="e">
        <f>IF(HLOOKUP($AL62&amp;"aa",[11]Feuil1!$A$27:$EP$48,11,FALSE)=FALSE,0,HLOOKUP($AL62&amp;"aa",[11]Feuil1!$A$27:$EP$48,11,FALSE))</f>
        <v>#N/A</v>
      </c>
      <c r="BE62" s="706" t="e">
        <f>IF(OR(HLOOKUP($AL62&amp;"a",[11]Feuil1!$A$27:$EP$48,12,FALSE)=FALSE,HLOOKUP($AL62&amp;"a",[11]Feuil1!$A$27:$EP$48,12,FALSE)=""),0,HLOOKUP($AL62&amp;"a",[11]Feuil1!$A$27:$EP$48,12,FALSE))</f>
        <v>#N/A</v>
      </c>
      <c r="BF62" s="706" t="e">
        <f>IF(HLOOKUP($AL62&amp;"aa",[11]Feuil1!$A$27:$EP$48,12,FALSE)=FALSE,0,HLOOKUP($AL62&amp;"aa",[11]Feuil1!$A$27:$EP$48,12,FALSE))</f>
        <v>#N/A</v>
      </c>
      <c r="BG62" s="706" t="e">
        <f>IF(OR(HLOOKUP($AL62&amp;"a",[11]Feuil1!$A$27:$EP$48,13,FALSE)=FALSE,HLOOKUP($AL62&amp;"a",[11]Feuil1!$A$27:$EP$48,13,FALSE)=""),0,HLOOKUP($AL62&amp;"a",[11]Feuil1!$A$27:$EP$48,13,FALSE))</f>
        <v>#N/A</v>
      </c>
      <c r="BH62" s="706" t="e">
        <f>IF(HLOOKUP($AL62&amp;"aa",[11]Feuil1!$A$27:$EP$48,13,FALSE)=FALSE,0,HLOOKUP($AL62&amp;"aa",[11]Feuil1!$A$27:$EP$48,13,FALSE))</f>
        <v>#N/A</v>
      </c>
      <c r="BI62" s="706" t="e">
        <f>IF(OR(HLOOKUP($AL62&amp;"a",[11]Feuil1!$A$27:$EP$48,14,FALSE)=FALSE,HLOOKUP($AL62&amp;"a",[11]Feuil1!$A$27:$EP$48,14,FALSE)=""),0,HLOOKUP($AL62&amp;"a",[11]Feuil1!$A$27:$EP$48,14,FALSE))</f>
        <v>#N/A</v>
      </c>
      <c r="BJ62" s="706" t="e">
        <f>IF(HLOOKUP($AL62&amp;"aa",[11]Feuil1!$A$27:$EP$48,14,FALSE)=FALSE,0,HLOOKUP($AL62&amp;"aa",[11]Feuil1!$A$27:$EP$48,14,FALSE))</f>
        <v>#N/A</v>
      </c>
      <c r="BK62" s="706" t="e">
        <f>IF(OR(HLOOKUP($AL62&amp;"a",[11]Feuil1!$A$27:$EP$48,15,FALSE)=FALSE,HLOOKUP($AL62&amp;"a",[11]Feuil1!$A$27:$EP$48,15,FALSE)=""),0,HLOOKUP($AL62&amp;"a",[11]Feuil1!$A$27:$EP$48,15,FALSE))</f>
        <v>#N/A</v>
      </c>
      <c r="BL62" s="706" t="e">
        <f>IF(HLOOKUP($AL62&amp;"aa",[11]Feuil1!$A$27:$EP$48,15,FALSE)=FALSE,0,HLOOKUP($AL62&amp;"aa",[11]Feuil1!$A$27:$EP$48,15,FALSE))</f>
        <v>#N/A</v>
      </c>
      <c r="BM62" s="706" t="e">
        <f>IF(OR(HLOOKUP($AL62&amp;"a",[11]Feuil1!$A$27:$EP$48,16,FALSE)=FALSE,HLOOKUP($AL62&amp;"a",[11]Feuil1!$A$27:$EP$48,16,FALSE)=""),0,HLOOKUP($AL62&amp;"a",[11]Feuil1!$A$27:$EP$48,16,FALSE))</f>
        <v>#N/A</v>
      </c>
      <c r="BN62" s="706" t="e">
        <f>IF(HLOOKUP($AL62&amp;"aa",[11]Feuil1!$A$27:$EP$48,16,FALSE)=FALSE,0,HLOOKUP($AL62&amp;"aa",[11]Feuil1!$A$27:$EP$48,16,FALSE))</f>
        <v>#N/A</v>
      </c>
      <c r="BO62" s="706" t="e">
        <f>IF(OR(HLOOKUP($AL62&amp;"a",[11]Feuil1!$A$27:$EP$48,17,FALSE)=FALSE,HLOOKUP($AL62&amp;"a",[11]Feuil1!$A$27:$EP$48,17,FALSE)=""),0,HLOOKUP($AL62&amp;"a",[11]Feuil1!$A$27:$EP$48,17,FALSE))</f>
        <v>#N/A</v>
      </c>
      <c r="BP62" s="706" t="e">
        <f>IF(HLOOKUP($AL62&amp;"aa",[11]Feuil1!$A$27:$EP$48,17,FALSE)=FALSE,0,HLOOKUP($AL62&amp;"aa",[11]Feuil1!$A$27:$EP$48,17,FALSE))</f>
        <v>#N/A</v>
      </c>
      <c r="BQ62" s="706" t="e">
        <f>IF(OR(HLOOKUP($AL62&amp;"a",[11]Feuil1!$A$27:$EP$48,18,FALSE)=FALSE,HLOOKUP($AL62&amp;"a",[11]Feuil1!$A$27:$EP$48,18,FALSE)=""),0,HLOOKUP($AL62&amp;"a",[11]Feuil1!$A$27:$EP$48,18,FALSE))</f>
        <v>#N/A</v>
      </c>
      <c r="BR62" s="706" t="e">
        <f>IF(HLOOKUP($AL62&amp;"aa",[11]Feuil1!$A$27:$EP$48,18,FALSE)=FALSE,0,HLOOKUP($AL62&amp;"aa",[11]Feuil1!$A$27:$EP$48,18,FALSE))</f>
        <v>#N/A</v>
      </c>
      <c r="BS62" s="707" t="e">
        <f t="shared" si="29"/>
        <v>#N/A</v>
      </c>
      <c r="BT62" s="707" t="e">
        <f t="shared" si="30"/>
        <v>#N/A</v>
      </c>
      <c r="BU62" s="707">
        <f t="shared" si="31"/>
        <v>0</v>
      </c>
      <c r="BV62" s="561"/>
      <c r="BW62" s="561"/>
      <c r="BX62" s="814"/>
      <c r="BY62" s="814"/>
      <c r="BZ62" s="814"/>
      <c r="CA62" s="588"/>
      <c r="CB62" s="588"/>
      <c r="CC62" s="589"/>
      <c r="CD62" s="561"/>
      <c r="CE62" s="561"/>
      <c r="CF62" s="561"/>
      <c r="CG62" s="561"/>
      <c r="CH62" s="561"/>
      <c r="CI62" s="714"/>
      <c r="CK62" s="715">
        <f t="shared" si="36"/>
        <v>0</v>
      </c>
      <c r="CL62" s="591">
        <f t="shared" si="17"/>
        <v>0</v>
      </c>
      <c r="CM62" s="716" t="str">
        <f t="shared" si="47"/>
        <v/>
      </c>
      <c r="CN62" s="716" t="str">
        <f t="shared" si="47"/>
        <v/>
      </c>
      <c r="CO62" s="716" t="str">
        <f t="shared" si="47"/>
        <v/>
      </c>
      <c r="CP62" s="716" t="str">
        <f t="shared" si="47"/>
        <v/>
      </c>
      <c r="CQ62" s="716" t="str">
        <f t="shared" si="47"/>
        <v/>
      </c>
      <c r="CR62" s="716" t="str">
        <f t="shared" si="47"/>
        <v/>
      </c>
      <c r="CS62" s="716" t="str">
        <f t="shared" si="48"/>
        <v/>
      </c>
      <c r="CT62" s="716" t="str">
        <f t="shared" si="48"/>
        <v/>
      </c>
      <c r="CU62" s="716" t="str">
        <f t="shared" si="48"/>
        <v/>
      </c>
      <c r="CV62" s="717" t="str">
        <f t="shared" si="37"/>
        <v/>
      </c>
      <c r="CW62" s="718" t="str">
        <f>IF(E62=0,"",VLOOKUP(B62,[10]liste!AU:BD,10,FALSE))</f>
        <v/>
      </c>
      <c r="CX62" s="719">
        <f t="shared" si="19"/>
        <v>0</v>
      </c>
      <c r="CY62" s="720" t="str">
        <f t="shared" si="38"/>
        <v>NC</v>
      </c>
      <c r="CZ62" s="789"/>
      <c r="DA62" s="789"/>
      <c r="DB62" s="789"/>
      <c r="DC62" s="722" t="str">
        <f t="shared" si="20"/>
        <v/>
      </c>
      <c r="DE62" s="723" t="str">
        <f t="shared" si="21"/>
        <v/>
      </c>
      <c r="DF62" s="723" t="str">
        <f t="shared" si="22"/>
        <v/>
      </c>
      <c r="DG62" s="697" t="str">
        <f t="shared" si="23"/>
        <v/>
      </c>
      <c r="DH62" s="724" t="str">
        <f t="shared" si="24"/>
        <v/>
      </c>
      <c r="DI62" s="724" t="str">
        <f t="shared" si="39"/>
        <v/>
      </c>
      <c r="DJ62" s="719">
        <f t="shared" si="25"/>
        <v>0</v>
      </c>
      <c r="DK62" s="719">
        <f t="shared" si="26"/>
        <v>0</v>
      </c>
      <c r="DL62" s="719">
        <f t="shared" si="40"/>
        <v>0</v>
      </c>
      <c r="DM62" s="789"/>
      <c r="DN62" s="789"/>
      <c r="DO62" s="789"/>
      <c r="DP62" s="720" t="str">
        <f t="shared" si="41"/>
        <v>NC</v>
      </c>
      <c r="DQ62" s="591">
        <f>VLOOKUP(DG62,[10]résultats!$A$2:$DE$70,109,FALSE)</f>
        <v>0</v>
      </c>
      <c r="DR62" s="591">
        <f>VLOOKUP(DG62,[10]résultats!$A$2:$DG$70,111,FALSE)</f>
        <v>0</v>
      </c>
      <c r="DU62" s="591">
        <f t="shared" si="43"/>
        <v>0</v>
      </c>
    </row>
    <row r="63" spans="1:125" s="554" customFormat="1" ht="20.25">
      <c r="A63" s="800" t="str">
        <f t="shared" si="9"/>
        <v/>
      </c>
      <c r="B63" s="801" t="str">
        <f>IF(E63=0,"",VLOOKUP(E63,[10]liste!AM:AN,2,FALSE))</f>
        <v/>
      </c>
      <c r="C63" s="802" t="str">
        <f>IF(E63=0,"",VLOOKUP(B63,[10]liste!AN:AP,3,FALSE))</f>
        <v/>
      </c>
      <c r="D63" s="803" t="str">
        <f t="shared" si="10"/>
        <v/>
      </c>
      <c r="E63" s="804">
        <f>LARGE([10]liste!AM:AM,48)</f>
        <v>0</v>
      </c>
      <c r="G63" s="805"/>
      <c r="H63" s="805"/>
      <c r="I63" s="804"/>
      <c r="J63" s="805"/>
      <c r="K63" s="805"/>
      <c r="L63" s="805"/>
      <c r="M63" s="804"/>
      <c r="N63" s="806"/>
      <c r="O63" s="806"/>
      <c r="P63" s="695">
        <f t="shared" ca="1" si="11"/>
        <v>0</v>
      </c>
      <c r="Q63" s="807">
        <f t="shared" si="12"/>
        <v>0</v>
      </c>
      <c r="R63" s="808">
        <f>IF(B63="",0,VLOOKUP(B63,[10]résultats!AX:DH,63,FALSE))</f>
        <v>0</v>
      </c>
      <c r="S63" s="809" t="str">
        <f t="shared" si="13"/>
        <v/>
      </c>
      <c r="T63" s="807"/>
      <c r="U63" s="807"/>
      <c r="V63" s="810"/>
      <c r="W63" s="810"/>
      <c r="X63" s="810"/>
      <c r="Y63" s="811">
        <f t="shared" si="15"/>
        <v>0</v>
      </c>
      <c r="Z63" s="812">
        <f ca="1">SMALL([10]cal.Ph1!F77:F179,8)</f>
        <v>42273.000000922919</v>
      </c>
      <c r="AA63" s="813" t="str">
        <f ca="1">IF(Z63=50000,"",VLOOKUP(Z63,[10]cal.Ph1!$F$74:$I$201,4,FALSE))</f>
        <v>engagement éq. Jeunes:</v>
      </c>
      <c r="AB63" s="813"/>
      <c r="AC63" s="813"/>
      <c r="AD63" s="1157" t="str">
        <f ca="1">VLOOKUP(AA63,[10]cal.Ph1!$I$77:$J$204,2,FALSE)</f>
        <v>Pensez à vous inscrire auprès des dirigeants si vous êtes intéressés !</v>
      </c>
      <c r="AE63" s="1157"/>
      <c r="AF63" s="1157"/>
      <c r="AG63" s="1157"/>
      <c r="AH63" s="1157"/>
      <c r="AI63" s="1157"/>
      <c r="AJ63" s="799"/>
      <c r="AK63" s="677">
        <f t="shared" si="28"/>
        <v>0</v>
      </c>
      <c r="AM63" s="706" t="e">
        <f>IF(OR(HLOOKUP($AL63&amp;"a",[11]Feuil1!$A$27:$EP$48,3,FALSE)=FALSE,HLOOKUP($AL63&amp;"a",[11]Feuil1!$A$27:$EP$48,3,FALSE)=""),0,HLOOKUP($AL63&amp;"a",[11]Feuil1!$A$27:$EP$48,3,FALSE))</f>
        <v>#N/A</v>
      </c>
      <c r="AN63" s="706" t="e">
        <f>IF(HLOOKUP($AL63&amp;"aa",[11]Feuil1!$A$27:$EP$48,3,FALSE)=FALSE,0,HLOOKUP($AL63&amp;"aa",[11]Feuil1!$A$27:$EP$48,3,FALSE))</f>
        <v>#N/A</v>
      </c>
      <c r="AO63" s="706" t="e">
        <f>IF(OR(HLOOKUP($AL63&amp;"a",[11]Feuil1!$A$27:$EP$48,4,FALSE)=FALSE,HLOOKUP($AL63&amp;"a",[11]Feuil1!$A$27:$EP$48,4,FALSE)=""),0,HLOOKUP($AL63&amp;"a",[11]Feuil1!$A$27:$EP$48,4,FALSE))</f>
        <v>#N/A</v>
      </c>
      <c r="AP63" s="706" t="e">
        <f>IF(HLOOKUP($AL63&amp;"aa",[11]Feuil1!$A$27:$EP$48,4,FALSE)=FALSE,0,HLOOKUP($AL63&amp;"aa",[11]Feuil1!$A$27:$EP$48,4,FALSE))</f>
        <v>#N/A</v>
      </c>
      <c r="AQ63" s="706" t="e">
        <f>IF(OR(HLOOKUP($AL63&amp;"a",[11]Feuil1!$A$27:$EP$48,5,FALSE)=FALSE,HLOOKUP($AL63&amp;"a",[11]Feuil1!$A$27:$EP$48,5,FALSE)=""),0,HLOOKUP($AL63&amp;"a",[11]Feuil1!$A$27:$EP$48,5,FALSE))</f>
        <v>#N/A</v>
      </c>
      <c r="AR63" s="706" t="e">
        <f>IF(HLOOKUP($AL63&amp;"aa",[11]Feuil1!$A$27:$EP$48,5,FALSE)=FALSE,0,HLOOKUP($AL63&amp;"aa",[11]Feuil1!$A$27:$EP$48,5,FALSE))</f>
        <v>#N/A</v>
      </c>
      <c r="AS63" s="706" t="e">
        <f>IF(OR(HLOOKUP($AL63&amp;"a",[11]Feuil1!$A$27:$EP$48,6,FALSE)=FALSE,HLOOKUP($AL63&amp;"a",[11]Feuil1!$A$27:$EP$48,6,FALSE)=""),0,HLOOKUP($AL63&amp;"a",[11]Feuil1!$A$27:$EP$48,6,FALSE))</f>
        <v>#N/A</v>
      </c>
      <c r="AT63" s="706" t="e">
        <f>IF(HLOOKUP($AL63&amp;"aa",[11]Feuil1!$A$27:$EP$48,6,FALSE)=FALSE,0,HLOOKUP($AL63&amp;"aa",[11]Feuil1!$A$27:$EP$48,6,FALSE))</f>
        <v>#N/A</v>
      </c>
      <c r="AU63" s="706" t="e">
        <f>IF(OR(HLOOKUP($AL63&amp;"a",[11]Feuil1!$A$27:$EP$48,7,FALSE)=FALSE,HLOOKUP($AL63&amp;"a",[11]Feuil1!$A$27:$EP$48,7,FALSE)=""),0,HLOOKUP($AL63&amp;"a",[11]Feuil1!$A$27:$EP$48,7,FALSE))</f>
        <v>#N/A</v>
      </c>
      <c r="AV63" s="706" t="e">
        <f>IF(HLOOKUP($AL63&amp;"aa",[11]Feuil1!$A$27:$EP$48,7,FALSE)=FALSE,0,HLOOKUP($AL63&amp;"aa",[11]Feuil1!$A$27:$EP$48,7,FALSE))</f>
        <v>#N/A</v>
      </c>
      <c r="AW63" s="706" t="e">
        <f>IF(OR(HLOOKUP($AL63&amp;"a",[11]Feuil1!$A$27:$EP$48,8,FALSE)=FALSE,HLOOKUP($AL63&amp;"a",[11]Feuil1!$A$27:$EP$48,8,FALSE)=""),0,HLOOKUP($AL63&amp;"a",[11]Feuil1!$A$27:$EP$48,8,FALSE))</f>
        <v>#N/A</v>
      </c>
      <c r="AX63" s="706" t="e">
        <f>IF(HLOOKUP($AL63&amp;"aa",[11]Feuil1!$A$27:$EP$48,8,FALSE)=FALSE,0,HLOOKUP($AL63&amp;"aa",[11]Feuil1!$A$27:$EP$48,8,FALSE))</f>
        <v>#N/A</v>
      </c>
      <c r="AY63" s="706" t="e">
        <f>IF(OR(HLOOKUP($AL63&amp;"a",[11]Feuil1!$A$27:$EP$48,9,FALSE)=FALSE,HLOOKUP($AL63&amp;"a",[11]Feuil1!$A$27:$EP$48,9,FALSE)=""),0,HLOOKUP($AL63&amp;"a",[11]Feuil1!$A$27:$EP$48,9,FALSE))</f>
        <v>#N/A</v>
      </c>
      <c r="AZ63" s="706" t="e">
        <f>IF(HLOOKUP($AL63&amp;"aa",[11]Feuil1!$A$27:$EP$48,9,FALSE)=FALSE,0,HLOOKUP($AL63&amp;"aa",[11]Feuil1!$A$27:$EP$48,9,FALSE))</f>
        <v>#N/A</v>
      </c>
      <c r="BA63" s="706" t="e">
        <f>IF(OR(HLOOKUP($AL63&amp;"a",[11]Feuil1!$A$27:$EP$48,10,FALSE)=FALSE,HLOOKUP($AL63&amp;"a",[11]Feuil1!$A$27:$EP$48,10,FALSE)=""),0,HLOOKUP($AL63&amp;"a",[11]Feuil1!$A$27:$EP$48,10,FALSE))</f>
        <v>#N/A</v>
      </c>
      <c r="BB63" s="706" t="e">
        <f>IF(HLOOKUP($AL63&amp;"aa",[11]Feuil1!$A$27:$EP$48,10,FALSE)=FALSE,0,HLOOKUP($AL63&amp;"aa",[11]Feuil1!$A$27:$EP$48,10,FALSE))</f>
        <v>#N/A</v>
      </c>
      <c r="BC63" s="706" t="e">
        <f>IF(OR(HLOOKUP($AL63&amp;"a",[11]Feuil1!$A$27:$EP$48,11,FALSE)=FALSE,HLOOKUP($AL63&amp;"a",[11]Feuil1!$A$27:$EP$48,11,FALSE)=""),0,HLOOKUP($AL63&amp;"a",[11]Feuil1!$A$27:$EP$48,11,FALSE))</f>
        <v>#N/A</v>
      </c>
      <c r="BD63" s="706" t="e">
        <f>IF(HLOOKUP($AL63&amp;"aa",[11]Feuil1!$A$27:$EP$48,11,FALSE)=FALSE,0,HLOOKUP($AL63&amp;"aa",[11]Feuil1!$A$27:$EP$48,11,FALSE))</f>
        <v>#N/A</v>
      </c>
      <c r="BE63" s="706" t="e">
        <f>IF(OR(HLOOKUP($AL63&amp;"a",[11]Feuil1!$A$27:$EP$48,12,FALSE)=FALSE,HLOOKUP($AL63&amp;"a",[11]Feuil1!$A$27:$EP$48,12,FALSE)=""),0,HLOOKUP($AL63&amp;"a",[11]Feuil1!$A$27:$EP$48,12,FALSE))</f>
        <v>#N/A</v>
      </c>
      <c r="BF63" s="706" t="e">
        <f>IF(HLOOKUP($AL63&amp;"aa",[11]Feuil1!$A$27:$EP$48,12,FALSE)=FALSE,0,HLOOKUP($AL63&amp;"aa",[11]Feuil1!$A$27:$EP$48,12,FALSE))</f>
        <v>#N/A</v>
      </c>
      <c r="BG63" s="706" t="e">
        <f>IF(OR(HLOOKUP($AL63&amp;"a",[11]Feuil1!$A$27:$EP$48,13,FALSE)=FALSE,HLOOKUP($AL63&amp;"a",[11]Feuil1!$A$27:$EP$48,13,FALSE)=""),0,HLOOKUP($AL63&amp;"a",[11]Feuil1!$A$27:$EP$48,13,FALSE))</f>
        <v>#N/A</v>
      </c>
      <c r="BH63" s="706" t="e">
        <f>IF(HLOOKUP($AL63&amp;"aa",[11]Feuil1!$A$27:$EP$48,13,FALSE)=FALSE,0,HLOOKUP($AL63&amp;"aa",[11]Feuil1!$A$27:$EP$48,13,FALSE))</f>
        <v>#N/A</v>
      </c>
      <c r="BI63" s="706" t="e">
        <f>IF(OR(HLOOKUP($AL63&amp;"a",[11]Feuil1!$A$27:$EP$48,14,FALSE)=FALSE,HLOOKUP($AL63&amp;"a",[11]Feuil1!$A$27:$EP$48,14,FALSE)=""),0,HLOOKUP($AL63&amp;"a",[11]Feuil1!$A$27:$EP$48,14,FALSE))</f>
        <v>#N/A</v>
      </c>
      <c r="BJ63" s="706" t="e">
        <f>IF(HLOOKUP($AL63&amp;"aa",[11]Feuil1!$A$27:$EP$48,14,FALSE)=FALSE,0,HLOOKUP($AL63&amp;"aa",[11]Feuil1!$A$27:$EP$48,14,FALSE))</f>
        <v>#N/A</v>
      </c>
      <c r="BK63" s="706" t="e">
        <f>IF(OR(HLOOKUP($AL63&amp;"a",[11]Feuil1!$A$27:$EP$48,15,FALSE)=FALSE,HLOOKUP($AL63&amp;"a",[11]Feuil1!$A$27:$EP$48,15,FALSE)=""),0,HLOOKUP($AL63&amp;"a",[11]Feuil1!$A$27:$EP$48,15,FALSE))</f>
        <v>#N/A</v>
      </c>
      <c r="BL63" s="706" t="e">
        <f>IF(HLOOKUP($AL63&amp;"aa",[11]Feuil1!$A$27:$EP$48,15,FALSE)=FALSE,0,HLOOKUP($AL63&amp;"aa",[11]Feuil1!$A$27:$EP$48,15,FALSE))</f>
        <v>#N/A</v>
      </c>
      <c r="BM63" s="706" t="e">
        <f>IF(OR(HLOOKUP($AL63&amp;"a",[11]Feuil1!$A$27:$EP$48,16,FALSE)=FALSE,HLOOKUP($AL63&amp;"a",[11]Feuil1!$A$27:$EP$48,16,FALSE)=""),0,HLOOKUP($AL63&amp;"a",[11]Feuil1!$A$27:$EP$48,16,FALSE))</f>
        <v>#N/A</v>
      </c>
      <c r="BN63" s="706" t="e">
        <f>IF(HLOOKUP($AL63&amp;"aa",[11]Feuil1!$A$27:$EP$48,16,FALSE)=FALSE,0,HLOOKUP($AL63&amp;"aa",[11]Feuil1!$A$27:$EP$48,16,FALSE))</f>
        <v>#N/A</v>
      </c>
      <c r="BO63" s="706" t="e">
        <f>IF(OR(HLOOKUP($AL63&amp;"a",[11]Feuil1!$A$27:$EP$48,17,FALSE)=FALSE,HLOOKUP($AL63&amp;"a",[11]Feuil1!$A$27:$EP$48,17,FALSE)=""),0,HLOOKUP($AL63&amp;"a",[11]Feuil1!$A$27:$EP$48,17,FALSE))</f>
        <v>#N/A</v>
      </c>
      <c r="BP63" s="706" t="e">
        <f>IF(HLOOKUP($AL63&amp;"aa",[11]Feuil1!$A$27:$EP$48,17,FALSE)=FALSE,0,HLOOKUP($AL63&amp;"aa",[11]Feuil1!$A$27:$EP$48,17,FALSE))</f>
        <v>#N/A</v>
      </c>
      <c r="BQ63" s="706" t="e">
        <f>IF(OR(HLOOKUP($AL63&amp;"a",[11]Feuil1!$A$27:$EP$48,18,FALSE)=FALSE,HLOOKUP($AL63&amp;"a",[11]Feuil1!$A$27:$EP$48,18,FALSE)=""),0,HLOOKUP($AL63&amp;"a",[11]Feuil1!$A$27:$EP$48,18,FALSE))</f>
        <v>#N/A</v>
      </c>
      <c r="BR63" s="706" t="e">
        <f>IF(HLOOKUP($AL63&amp;"aa",[11]Feuil1!$A$27:$EP$48,18,FALSE)=FALSE,0,HLOOKUP($AL63&amp;"aa",[11]Feuil1!$A$27:$EP$48,18,FALSE))</f>
        <v>#N/A</v>
      </c>
      <c r="BS63" s="707" t="e">
        <f t="shared" si="29"/>
        <v>#N/A</v>
      </c>
      <c r="BT63" s="707" t="e">
        <f t="shared" si="30"/>
        <v>#N/A</v>
      </c>
      <c r="BU63" s="707">
        <f t="shared" si="31"/>
        <v>0</v>
      </c>
      <c r="BV63" s="561"/>
      <c r="BW63" s="561"/>
      <c r="BX63" s="814"/>
      <c r="BY63" s="814"/>
      <c r="BZ63" s="814"/>
      <c r="CA63" s="588"/>
      <c r="CB63" s="588"/>
      <c r="CC63" s="589"/>
      <c r="CD63" s="561"/>
      <c r="CE63" s="561"/>
      <c r="CF63" s="561"/>
      <c r="CG63" s="561"/>
      <c r="CH63" s="561"/>
      <c r="CI63" s="714"/>
      <c r="CK63" s="715">
        <f t="shared" si="36"/>
        <v>0</v>
      </c>
      <c r="CL63" s="591">
        <f t="shared" si="17"/>
        <v>0</v>
      </c>
      <c r="CM63" s="716" t="str">
        <f t="shared" si="47"/>
        <v/>
      </c>
      <c r="CN63" s="716" t="str">
        <f t="shared" si="47"/>
        <v/>
      </c>
      <c r="CO63" s="716" t="str">
        <f t="shared" si="47"/>
        <v/>
      </c>
      <c r="CP63" s="716" t="str">
        <f t="shared" si="47"/>
        <v/>
      </c>
      <c r="CQ63" s="716" t="str">
        <f t="shared" si="47"/>
        <v/>
      </c>
      <c r="CR63" s="716" t="str">
        <f t="shared" si="47"/>
        <v/>
      </c>
      <c r="CS63" s="716" t="str">
        <f t="shared" si="48"/>
        <v/>
      </c>
      <c r="CT63" s="716" t="str">
        <f t="shared" si="48"/>
        <v/>
      </c>
      <c r="CU63" s="716" t="str">
        <f t="shared" si="48"/>
        <v/>
      </c>
      <c r="CV63" s="717" t="str">
        <f t="shared" si="37"/>
        <v/>
      </c>
      <c r="CW63" s="718" t="str">
        <f>IF(E63=0,"",VLOOKUP(B63,[10]liste!AU:BD,10,FALSE))</f>
        <v/>
      </c>
      <c r="CX63" s="719">
        <f t="shared" si="19"/>
        <v>0</v>
      </c>
      <c r="CY63" s="720" t="str">
        <f t="shared" si="38"/>
        <v>NC</v>
      </c>
      <c r="CZ63" s="789"/>
      <c r="DA63" s="789"/>
      <c r="DB63" s="789"/>
      <c r="DC63" s="722" t="str">
        <f t="shared" si="20"/>
        <v/>
      </c>
      <c r="DE63" s="723" t="str">
        <f t="shared" si="21"/>
        <v/>
      </c>
      <c r="DF63" s="723" t="str">
        <f t="shared" si="22"/>
        <v/>
      </c>
      <c r="DG63" s="697" t="str">
        <f t="shared" si="23"/>
        <v/>
      </c>
      <c r="DH63" s="724" t="str">
        <f t="shared" si="24"/>
        <v/>
      </c>
      <c r="DI63" s="724" t="str">
        <f t="shared" si="39"/>
        <v/>
      </c>
      <c r="DJ63" s="719">
        <f t="shared" si="25"/>
        <v>0</v>
      </c>
      <c r="DK63" s="719">
        <f t="shared" si="26"/>
        <v>0</v>
      </c>
      <c r="DL63" s="719">
        <f t="shared" si="40"/>
        <v>0</v>
      </c>
      <c r="DM63" s="789"/>
      <c r="DN63" s="789"/>
      <c r="DO63" s="789"/>
      <c r="DP63" s="720" t="str">
        <f t="shared" si="41"/>
        <v>NC</v>
      </c>
      <c r="DQ63" s="591">
        <f>VLOOKUP(DG63,[10]résultats!$A$2:$DE$70,109,FALSE)</f>
        <v>0</v>
      </c>
      <c r="DR63" s="591">
        <f>VLOOKUP(DG63,[10]résultats!$A$2:$DG$70,111,FALSE)</f>
        <v>0</v>
      </c>
      <c r="DU63" s="591">
        <f t="shared" si="43"/>
        <v>0</v>
      </c>
    </row>
    <row r="64" spans="1:125" s="554" customFormat="1" ht="20.25">
      <c r="A64" s="800" t="str">
        <f t="shared" si="9"/>
        <v/>
      </c>
      <c r="B64" s="801" t="str">
        <f>IF(E64=0,"",VLOOKUP(E64,[10]liste!AM:AN,2,FALSE))</f>
        <v/>
      </c>
      <c r="C64" s="802" t="str">
        <f>IF(E64=0,"",VLOOKUP(B64,[10]liste!AN:AP,3,FALSE))</f>
        <v/>
      </c>
      <c r="D64" s="803" t="str">
        <f t="shared" si="10"/>
        <v/>
      </c>
      <c r="E64" s="804">
        <f>LARGE([10]liste!AM:AM,49)</f>
        <v>0</v>
      </c>
      <c r="G64" s="805"/>
      <c r="H64" s="805"/>
      <c r="I64" s="804"/>
      <c r="J64" s="805"/>
      <c r="K64" s="805"/>
      <c r="L64" s="805"/>
      <c r="M64" s="804"/>
      <c r="N64" s="806"/>
      <c r="O64" s="806"/>
      <c r="P64" s="695">
        <f t="shared" ca="1" si="11"/>
        <v>0</v>
      </c>
      <c r="Q64" s="807">
        <f t="shared" si="12"/>
        <v>0</v>
      </c>
      <c r="R64" s="808">
        <f>IF(B64="",0,VLOOKUP(B64,[10]résultats!AX:DH,63,FALSE))</f>
        <v>0</v>
      </c>
      <c r="S64" s="809" t="str">
        <f t="shared" si="13"/>
        <v/>
      </c>
      <c r="T64" s="807"/>
      <c r="U64" s="807"/>
      <c r="V64" s="810"/>
      <c r="W64" s="810"/>
      <c r="X64" s="810"/>
      <c r="Y64" s="811">
        <f t="shared" si="15"/>
        <v>0</v>
      </c>
      <c r="Z64" s="812">
        <f ca="1">SMALL([10]cal.Ph1!F77:F179,9)</f>
        <v>42286.000000032916</v>
      </c>
      <c r="AA64" s="813" t="str">
        <f ca="1">IF(Z64=50000,"",VLOOKUP(Z64,[10]cal.Ph1!$F$74:$I$201,4,FALSE))</f>
        <v>engagement Circuit jeune:</v>
      </c>
      <c r="AB64" s="813"/>
      <c r="AC64" s="813"/>
      <c r="AD64" s="1157" t="str">
        <f ca="1">VLOOKUP(AA64,[10]cal.Ph1!$I$77:$J$204,2,FALSE)</f>
        <v>Pensez à vous inscrire auprès des dirigeants si vous êtes intéressés !</v>
      </c>
      <c r="AE64" s="1157"/>
      <c r="AF64" s="1157"/>
      <c r="AG64" s="1157"/>
      <c r="AH64" s="1157"/>
      <c r="AI64" s="1157"/>
      <c r="AJ64" s="799"/>
      <c r="AK64" s="677">
        <f t="shared" si="28"/>
        <v>0</v>
      </c>
      <c r="AM64" s="706" t="e">
        <f>IF(OR(HLOOKUP($AL64&amp;"a",[11]Feuil1!$A$27:$EP$48,3,FALSE)=FALSE,HLOOKUP($AL64&amp;"a",[11]Feuil1!$A$27:$EP$48,3,FALSE)=""),0,HLOOKUP($AL64&amp;"a",[11]Feuil1!$A$27:$EP$48,3,FALSE))</f>
        <v>#N/A</v>
      </c>
      <c r="AN64" s="706" t="e">
        <f>IF(HLOOKUP($AL64&amp;"aa",[11]Feuil1!$A$27:$EP$48,3,FALSE)=FALSE,0,HLOOKUP($AL64&amp;"aa",[11]Feuil1!$A$27:$EP$48,3,FALSE))</f>
        <v>#N/A</v>
      </c>
      <c r="AO64" s="706" t="e">
        <f>IF(OR(HLOOKUP($AL64&amp;"a",[11]Feuil1!$A$27:$EP$48,4,FALSE)=FALSE,HLOOKUP($AL64&amp;"a",[11]Feuil1!$A$27:$EP$48,4,FALSE)=""),0,HLOOKUP($AL64&amp;"a",[11]Feuil1!$A$27:$EP$48,4,FALSE))</f>
        <v>#N/A</v>
      </c>
      <c r="AP64" s="706" t="e">
        <f>IF(HLOOKUP($AL64&amp;"aa",[11]Feuil1!$A$27:$EP$48,4,FALSE)=FALSE,0,HLOOKUP($AL64&amp;"aa",[11]Feuil1!$A$27:$EP$48,4,FALSE))</f>
        <v>#N/A</v>
      </c>
      <c r="AQ64" s="706" t="e">
        <f>IF(OR(HLOOKUP($AL64&amp;"a",[11]Feuil1!$A$27:$EP$48,5,FALSE)=FALSE,HLOOKUP($AL64&amp;"a",[11]Feuil1!$A$27:$EP$48,5,FALSE)=""),0,HLOOKUP($AL64&amp;"a",[11]Feuil1!$A$27:$EP$48,5,FALSE))</f>
        <v>#N/A</v>
      </c>
      <c r="AR64" s="706" t="e">
        <f>IF(HLOOKUP($AL64&amp;"aa",[11]Feuil1!$A$27:$EP$48,5,FALSE)=FALSE,0,HLOOKUP($AL64&amp;"aa",[11]Feuil1!$A$27:$EP$48,5,FALSE))</f>
        <v>#N/A</v>
      </c>
      <c r="AS64" s="706" t="e">
        <f>IF(OR(HLOOKUP($AL64&amp;"a",[11]Feuil1!$A$27:$EP$48,6,FALSE)=FALSE,HLOOKUP($AL64&amp;"a",[11]Feuil1!$A$27:$EP$48,6,FALSE)=""),0,HLOOKUP($AL64&amp;"a",[11]Feuil1!$A$27:$EP$48,6,FALSE))</f>
        <v>#N/A</v>
      </c>
      <c r="AT64" s="706" t="e">
        <f>IF(HLOOKUP($AL64&amp;"aa",[11]Feuil1!$A$27:$EP$48,6,FALSE)=FALSE,0,HLOOKUP($AL64&amp;"aa",[11]Feuil1!$A$27:$EP$48,6,FALSE))</f>
        <v>#N/A</v>
      </c>
      <c r="AU64" s="706" t="e">
        <f>IF(OR(HLOOKUP($AL64&amp;"a",[11]Feuil1!$A$27:$EP$48,7,FALSE)=FALSE,HLOOKUP($AL64&amp;"a",[11]Feuil1!$A$27:$EP$48,7,FALSE)=""),0,HLOOKUP($AL64&amp;"a",[11]Feuil1!$A$27:$EP$48,7,FALSE))</f>
        <v>#N/A</v>
      </c>
      <c r="AV64" s="706" t="e">
        <f>IF(HLOOKUP($AL64&amp;"aa",[11]Feuil1!$A$27:$EP$48,7,FALSE)=FALSE,0,HLOOKUP($AL64&amp;"aa",[11]Feuil1!$A$27:$EP$48,7,FALSE))</f>
        <v>#N/A</v>
      </c>
      <c r="AW64" s="706" t="e">
        <f>IF(OR(HLOOKUP($AL64&amp;"a",[11]Feuil1!$A$27:$EP$48,8,FALSE)=FALSE,HLOOKUP($AL64&amp;"a",[11]Feuil1!$A$27:$EP$48,8,FALSE)=""),0,HLOOKUP($AL64&amp;"a",[11]Feuil1!$A$27:$EP$48,8,FALSE))</f>
        <v>#N/A</v>
      </c>
      <c r="AX64" s="706" t="e">
        <f>IF(HLOOKUP($AL64&amp;"aa",[11]Feuil1!$A$27:$EP$48,8,FALSE)=FALSE,0,HLOOKUP($AL64&amp;"aa",[11]Feuil1!$A$27:$EP$48,8,FALSE))</f>
        <v>#N/A</v>
      </c>
      <c r="AY64" s="706" t="e">
        <f>IF(OR(HLOOKUP($AL64&amp;"a",[11]Feuil1!$A$27:$EP$48,9,FALSE)=FALSE,HLOOKUP($AL64&amp;"a",[11]Feuil1!$A$27:$EP$48,9,FALSE)=""),0,HLOOKUP($AL64&amp;"a",[11]Feuil1!$A$27:$EP$48,9,FALSE))</f>
        <v>#N/A</v>
      </c>
      <c r="AZ64" s="706" t="e">
        <f>IF(HLOOKUP($AL64&amp;"aa",[11]Feuil1!$A$27:$EP$48,9,FALSE)=FALSE,0,HLOOKUP($AL64&amp;"aa",[11]Feuil1!$A$27:$EP$48,9,FALSE))</f>
        <v>#N/A</v>
      </c>
      <c r="BA64" s="706" t="e">
        <f>IF(OR(HLOOKUP($AL64&amp;"a",[11]Feuil1!$A$27:$EP$48,10,FALSE)=FALSE,HLOOKUP($AL64&amp;"a",[11]Feuil1!$A$27:$EP$48,10,FALSE)=""),0,HLOOKUP($AL64&amp;"a",[11]Feuil1!$A$27:$EP$48,10,FALSE))</f>
        <v>#N/A</v>
      </c>
      <c r="BB64" s="706" t="e">
        <f>IF(HLOOKUP($AL64&amp;"aa",[11]Feuil1!$A$27:$EP$48,10,FALSE)=FALSE,0,HLOOKUP($AL64&amp;"aa",[11]Feuil1!$A$27:$EP$48,10,FALSE))</f>
        <v>#N/A</v>
      </c>
      <c r="BC64" s="706" t="e">
        <f>IF(OR(HLOOKUP($AL64&amp;"a",[11]Feuil1!$A$27:$EP$48,11,FALSE)=FALSE,HLOOKUP($AL64&amp;"a",[11]Feuil1!$A$27:$EP$48,11,FALSE)=""),0,HLOOKUP($AL64&amp;"a",[11]Feuil1!$A$27:$EP$48,11,FALSE))</f>
        <v>#N/A</v>
      </c>
      <c r="BD64" s="706" t="e">
        <f>IF(HLOOKUP($AL64&amp;"aa",[11]Feuil1!$A$27:$EP$48,11,FALSE)=FALSE,0,HLOOKUP($AL64&amp;"aa",[11]Feuil1!$A$27:$EP$48,11,FALSE))</f>
        <v>#N/A</v>
      </c>
      <c r="BE64" s="706" t="e">
        <f>IF(OR(HLOOKUP($AL64&amp;"a",[11]Feuil1!$A$27:$EP$48,12,FALSE)=FALSE,HLOOKUP($AL64&amp;"a",[11]Feuil1!$A$27:$EP$48,12,FALSE)=""),0,HLOOKUP($AL64&amp;"a",[11]Feuil1!$A$27:$EP$48,12,FALSE))</f>
        <v>#N/A</v>
      </c>
      <c r="BF64" s="706" t="e">
        <f>IF(HLOOKUP($AL64&amp;"aa",[11]Feuil1!$A$27:$EP$48,12,FALSE)=FALSE,0,HLOOKUP($AL64&amp;"aa",[11]Feuil1!$A$27:$EP$48,12,FALSE))</f>
        <v>#N/A</v>
      </c>
      <c r="BG64" s="706" t="e">
        <f>IF(OR(HLOOKUP($AL64&amp;"a",[11]Feuil1!$A$27:$EP$48,13,FALSE)=FALSE,HLOOKUP($AL64&amp;"a",[11]Feuil1!$A$27:$EP$48,13,FALSE)=""),0,HLOOKUP($AL64&amp;"a",[11]Feuil1!$A$27:$EP$48,13,FALSE))</f>
        <v>#N/A</v>
      </c>
      <c r="BH64" s="706" t="e">
        <f>IF(HLOOKUP($AL64&amp;"aa",[11]Feuil1!$A$27:$EP$48,13,FALSE)=FALSE,0,HLOOKUP($AL64&amp;"aa",[11]Feuil1!$A$27:$EP$48,13,FALSE))</f>
        <v>#N/A</v>
      </c>
      <c r="BI64" s="706" t="e">
        <f>IF(OR(HLOOKUP($AL64&amp;"a",[11]Feuil1!$A$27:$EP$48,14,FALSE)=FALSE,HLOOKUP($AL64&amp;"a",[11]Feuil1!$A$27:$EP$48,14,FALSE)=""),0,HLOOKUP($AL64&amp;"a",[11]Feuil1!$A$27:$EP$48,14,FALSE))</f>
        <v>#N/A</v>
      </c>
      <c r="BJ64" s="706" t="e">
        <f>IF(HLOOKUP($AL64&amp;"aa",[11]Feuil1!$A$27:$EP$48,14,FALSE)=FALSE,0,HLOOKUP($AL64&amp;"aa",[11]Feuil1!$A$27:$EP$48,14,FALSE))</f>
        <v>#N/A</v>
      </c>
      <c r="BK64" s="706" t="e">
        <f>IF(OR(HLOOKUP($AL64&amp;"a",[11]Feuil1!$A$27:$EP$48,15,FALSE)=FALSE,HLOOKUP($AL64&amp;"a",[11]Feuil1!$A$27:$EP$48,15,FALSE)=""),0,HLOOKUP($AL64&amp;"a",[11]Feuil1!$A$27:$EP$48,15,FALSE))</f>
        <v>#N/A</v>
      </c>
      <c r="BL64" s="706" t="e">
        <f>IF(HLOOKUP($AL64&amp;"aa",[11]Feuil1!$A$27:$EP$48,15,FALSE)=FALSE,0,HLOOKUP($AL64&amp;"aa",[11]Feuil1!$A$27:$EP$48,15,FALSE))</f>
        <v>#N/A</v>
      </c>
      <c r="BM64" s="706" t="e">
        <f>IF(OR(HLOOKUP($AL64&amp;"a",[11]Feuil1!$A$27:$EP$48,16,FALSE)=FALSE,HLOOKUP($AL64&amp;"a",[11]Feuil1!$A$27:$EP$48,16,FALSE)=""),0,HLOOKUP($AL64&amp;"a",[11]Feuil1!$A$27:$EP$48,16,FALSE))</f>
        <v>#N/A</v>
      </c>
      <c r="BN64" s="706" t="e">
        <f>IF(HLOOKUP($AL64&amp;"aa",[11]Feuil1!$A$27:$EP$48,16,FALSE)=FALSE,0,HLOOKUP($AL64&amp;"aa",[11]Feuil1!$A$27:$EP$48,16,FALSE))</f>
        <v>#N/A</v>
      </c>
      <c r="BO64" s="706" t="e">
        <f>IF(OR(HLOOKUP($AL64&amp;"a",[11]Feuil1!$A$27:$EP$48,17,FALSE)=FALSE,HLOOKUP($AL64&amp;"a",[11]Feuil1!$A$27:$EP$48,17,FALSE)=""),0,HLOOKUP($AL64&amp;"a",[11]Feuil1!$A$27:$EP$48,17,FALSE))</f>
        <v>#N/A</v>
      </c>
      <c r="BP64" s="706" t="e">
        <f>IF(HLOOKUP($AL64&amp;"aa",[11]Feuil1!$A$27:$EP$48,17,FALSE)=FALSE,0,HLOOKUP($AL64&amp;"aa",[11]Feuil1!$A$27:$EP$48,17,FALSE))</f>
        <v>#N/A</v>
      </c>
      <c r="BQ64" s="706" t="e">
        <f>IF(OR(HLOOKUP($AL64&amp;"a",[11]Feuil1!$A$27:$EP$48,18,FALSE)=FALSE,HLOOKUP($AL64&amp;"a",[11]Feuil1!$A$27:$EP$48,18,FALSE)=""),0,HLOOKUP($AL64&amp;"a",[11]Feuil1!$A$27:$EP$48,18,FALSE))</f>
        <v>#N/A</v>
      </c>
      <c r="BR64" s="706" t="e">
        <f>IF(HLOOKUP($AL64&amp;"aa",[11]Feuil1!$A$27:$EP$48,18,FALSE)=FALSE,0,HLOOKUP($AL64&amp;"aa",[11]Feuil1!$A$27:$EP$48,18,FALSE))</f>
        <v>#N/A</v>
      </c>
      <c r="BS64" s="707" t="e">
        <f t="shared" si="29"/>
        <v>#N/A</v>
      </c>
      <c r="BT64" s="707" t="e">
        <f t="shared" si="30"/>
        <v>#N/A</v>
      </c>
      <c r="BU64" s="707">
        <f t="shared" si="31"/>
        <v>0</v>
      </c>
      <c r="BV64" s="561"/>
      <c r="BW64" s="561"/>
      <c r="BX64" s="814"/>
      <c r="BY64" s="814"/>
      <c r="BZ64" s="814"/>
      <c r="CA64" s="588"/>
      <c r="CB64" s="588"/>
      <c r="CC64" s="589"/>
      <c r="CD64" s="561"/>
      <c r="CE64" s="561"/>
      <c r="CF64" s="561"/>
      <c r="CG64" s="561"/>
      <c r="CH64" s="561"/>
      <c r="CI64" s="714"/>
      <c r="CK64" s="715">
        <f t="shared" si="36"/>
        <v>0</v>
      </c>
      <c r="CL64" s="591">
        <f t="shared" si="17"/>
        <v>0</v>
      </c>
      <c r="CM64" s="716" t="str">
        <f t="shared" si="47"/>
        <v/>
      </c>
      <c r="CN64" s="716" t="str">
        <f t="shared" si="47"/>
        <v/>
      </c>
      <c r="CO64" s="716" t="str">
        <f t="shared" si="47"/>
        <v/>
      </c>
      <c r="CP64" s="716" t="str">
        <f t="shared" si="47"/>
        <v/>
      </c>
      <c r="CQ64" s="716" t="str">
        <f t="shared" si="47"/>
        <v/>
      </c>
      <c r="CR64" s="716" t="str">
        <f t="shared" si="47"/>
        <v/>
      </c>
      <c r="CS64" s="716" t="str">
        <f t="shared" si="48"/>
        <v/>
      </c>
      <c r="CT64" s="716" t="str">
        <f t="shared" si="48"/>
        <v/>
      </c>
      <c r="CU64" s="716" t="str">
        <f t="shared" si="48"/>
        <v/>
      </c>
      <c r="CV64" s="717" t="str">
        <f t="shared" si="37"/>
        <v/>
      </c>
      <c r="CW64" s="718" t="str">
        <f>IF(E64=0,"",VLOOKUP(B64,[10]liste!AU:BD,10,FALSE))</f>
        <v/>
      </c>
      <c r="CX64" s="719">
        <f t="shared" si="19"/>
        <v>0</v>
      </c>
      <c r="CY64" s="720" t="str">
        <f t="shared" si="38"/>
        <v>NC</v>
      </c>
      <c r="CZ64" s="789"/>
      <c r="DA64" s="789"/>
      <c r="DB64" s="789"/>
      <c r="DC64" s="722" t="str">
        <f t="shared" si="20"/>
        <v/>
      </c>
      <c r="DE64" s="723" t="str">
        <f t="shared" si="21"/>
        <v/>
      </c>
      <c r="DF64" s="723" t="str">
        <f t="shared" si="22"/>
        <v/>
      </c>
      <c r="DG64" s="697" t="str">
        <f t="shared" si="23"/>
        <v/>
      </c>
      <c r="DH64" s="724" t="str">
        <f t="shared" si="24"/>
        <v/>
      </c>
      <c r="DI64" s="724" t="str">
        <f t="shared" si="39"/>
        <v/>
      </c>
      <c r="DJ64" s="719">
        <f t="shared" si="25"/>
        <v>0</v>
      </c>
      <c r="DK64" s="719">
        <f t="shared" si="26"/>
        <v>0</v>
      </c>
      <c r="DL64" s="719">
        <f t="shared" si="40"/>
        <v>0</v>
      </c>
      <c r="DM64" s="789"/>
      <c r="DN64" s="789"/>
      <c r="DO64" s="789"/>
      <c r="DP64" s="720" t="str">
        <f t="shared" si="41"/>
        <v>NC</v>
      </c>
      <c r="DQ64" s="591">
        <f>VLOOKUP(DG64,[10]résultats!$A$2:$DE$70,109,FALSE)</f>
        <v>0</v>
      </c>
      <c r="DR64" s="591">
        <f>VLOOKUP(DG64,[10]résultats!$A$2:$DG$70,111,FALSE)</f>
        <v>0</v>
      </c>
      <c r="DU64" s="591">
        <f t="shared" si="43"/>
        <v>0</v>
      </c>
    </row>
    <row r="65" spans="1:125" s="554" customFormat="1" ht="20.25">
      <c r="A65" s="800" t="str">
        <f t="shared" si="9"/>
        <v/>
      </c>
      <c r="B65" s="801" t="str">
        <f>IF(E65=0,"",VLOOKUP(E65,[10]liste!AM:AN,2,FALSE))</f>
        <v/>
      </c>
      <c r="C65" s="802" t="str">
        <f>IF(E65=0,"",VLOOKUP(B65,[10]liste!AN:AP,3,FALSE))</f>
        <v/>
      </c>
      <c r="D65" s="803" t="str">
        <f t="shared" si="10"/>
        <v/>
      </c>
      <c r="E65" s="804">
        <f>LARGE([10]liste!AM:AM,50)</f>
        <v>0</v>
      </c>
      <c r="G65" s="805"/>
      <c r="H65" s="805"/>
      <c r="I65" s="804"/>
      <c r="J65" s="805"/>
      <c r="K65" s="805"/>
      <c r="L65" s="805"/>
      <c r="M65" s="804"/>
      <c r="N65" s="806"/>
      <c r="O65" s="806"/>
      <c r="P65" s="695">
        <f t="shared" ca="1" si="11"/>
        <v>0</v>
      </c>
      <c r="Q65" s="807">
        <f t="shared" si="12"/>
        <v>0</v>
      </c>
      <c r="R65" s="808">
        <f>IF(B65="",0,VLOOKUP(B65,[10]résultats!AX:DH,63,FALSE))</f>
        <v>0</v>
      </c>
      <c r="S65" s="809" t="str">
        <f t="shared" si="13"/>
        <v/>
      </c>
      <c r="T65" s="807"/>
      <c r="U65" s="807"/>
      <c r="V65" s="810"/>
      <c r="W65" s="810"/>
      <c r="X65" s="810"/>
      <c r="Y65" s="811">
        <f t="shared" si="15"/>
        <v>0</v>
      </c>
      <c r="Z65" s="812">
        <f ca="1">SMALL([10]cal.Ph1!F77:F179,10)</f>
        <v>42353.000000850814</v>
      </c>
      <c r="AA65" s="813" t="str">
        <f ca="1">IF(Z65=50000,"",VLOOKUP(Z65,[10]cal.Ph1!$F$74:$I$201,4,FALSE))</f>
        <v>TOP 56</v>
      </c>
      <c r="AB65" s="813"/>
      <c r="AC65" s="813"/>
      <c r="AD65" s="1157" t="str">
        <f ca="1">VLOOKUP(AA65,[10]cal.Ph1!$I$77:$J$204,2,FALSE)</f>
        <v xml:space="preserve"> - poules -  - 1/16 -  - 1/8 -  - 1/16 -  - 1/8 -  - poules </v>
      </c>
      <c r="AE65" s="1157"/>
      <c r="AF65" s="1157"/>
      <c r="AG65" s="1157"/>
      <c r="AH65" s="1157"/>
      <c r="AI65" s="1157"/>
      <c r="AJ65" s="799"/>
      <c r="AK65" s="677">
        <f t="shared" si="28"/>
        <v>0</v>
      </c>
      <c r="AM65" s="706" t="e">
        <f>IF(OR(HLOOKUP($AL65&amp;"a",[11]Feuil1!$A$27:$EP$48,3,FALSE)=FALSE,HLOOKUP($AL65&amp;"a",[11]Feuil1!$A$27:$EP$48,3,FALSE)=""),0,HLOOKUP($AL65&amp;"a",[11]Feuil1!$A$27:$EP$48,3,FALSE))</f>
        <v>#N/A</v>
      </c>
      <c r="AN65" s="706" t="e">
        <f>IF(HLOOKUP($AL65&amp;"aa",[11]Feuil1!$A$27:$EP$48,3,FALSE)=FALSE,0,HLOOKUP($AL65&amp;"aa",[11]Feuil1!$A$27:$EP$48,3,FALSE))</f>
        <v>#N/A</v>
      </c>
      <c r="AO65" s="706" t="e">
        <f>IF(OR(HLOOKUP($AL65&amp;"a",[11]Feuil1!$A$27:$EP$48,4,FALSE)=FALSE,HLOOKUP($AL65&amp;"a",[11]Feuil1!$A$27:$EP$48,4,FALSE)=""),0,HLOOKUP($AL65&amp;"a",[11]Feuil1!$A$27:$EP$48,4,FALSE))</f>
        <v>#N/A</v>
      </c>
      <c r="AP65" s="706" t="e">
        <f>IF(HLOOKUP($AL65&amp;"aa",[11]Feuil1!$A$27:$EP$48,4,FALSE)=FALSE,0,HLOOKUP($AL65&amp;"aa",[11]Feuil1!$A$27:$EP$48,4,FALSE))</f>
        <v>#N/A</v>
      </c>
      <c r="AQ65" s="706" t="e">
        <f>IF(OR(HLOOKUP($AL65&amp;"a",[11]Feuil1!$A$27:$EP$48,5,FALSE)=FALSE,HLOOKUP($AL65&amp;"a",[11]Feuil1!$A$27:$EP$48,5,FALSE)=""),0,HLOOKUP($AL65&amp;"a",[11]Feuil1!$A$27:$EP$48,5,FALSE))</f>
        <v>#N/A</v>
      </c>
      <c r="AR65" s="706" t="e">
        <f>IF(HLOOKUP($AL65&amp;"aa",[11]Feuil1!$A$27:$EP$48,5,FALSE)=FALSE,0,HLOOKUP($AL65&amp;"aa",[11]Feuil1!$A$27:$EP$48,5,FALSE))</f>
        <v>#N/A</v>
      </c>
      <c r="AS65" s="706" t="e">
        <f>IF(OR(HLOOKUP($AL65&amp;"a",[11]Feuil1!$A$27:$EP$48,6,FALSE)=FALSE,HLOOKUP($AL65&amp;"a",[11]Feuil1!$A$27:$EP$48,6,FALSE)=""),0,HLOOKUP($AL65&amp;"a",[11]Feuil1!$A$27:$EP$48,6,FALSE))</f>
        <v>#N/A</v>
      </c>
      <c r="AT65" s="706" t="e">
        <f>IF(HLOOKUP($AL65&amp;"aa",[11]Feuil1!$A$27:$EP$48,6,FALSE)=FALSE,0,HLOOKUP($AL65&amp;"aa",[11]Feuil1!$A$27:$EP$48,6,FALSE))</f>
        <v>#N/A</v>
      </c>
      <c r="AU65" s="706" t="e">
        <f>IF(OR(HLOOKUP($AL65&amp;"a",[11]Feuil1!$A$27:$EP$48,7,FALSE)=FALSE,HLOOKUP($AL65&amp;"a",[11]Feuil1!$A$27:$EP$48,7,FALSE)=""),0,HLOOKUP($AL65&amp;"a",[11]Feuil1!$A$27:$EP$48,7,FALSE))</f>
        <v>#N/A</v>
      </c>
      <c r="AV65" s="706" t="e">
        <f>IF(HLOOKUP($AL65&amp;"aa",[11]Feuil1!$A$27:$EP$48,7,FALSE)=FALSE,0,HLOOKUP($AL65&amp;"aa",[11]Feuil1!$A$27:$EP$48,7,FALSE))</f>
        <v>#N/A</v>
      </c>
      <c r="AW65" s="706" t="e">
        <f>IF(OR(HLOOKUP($AL65&amp;"a",[11]Feuil1!$A$27:$EP$48,8,FALSE)=FALSE,HLOOKUP($AL65&amp;"a",[11]Feuil1!$A$27:$EP$48,8,FALSE)=""),0,HLOOKUP($AL65&amp;"a",[11]Feuil1!$A$27:$EP$48,8,FALSE))</f>
        <v>#N/A</v>
      </c>
      <c r="AX65" s="706" t="e">
        <f>IF(HLOOKUP($AL65&amp;"aa",[11]Feuil1!$A$27:$EP$48,8,FALSE)=FALSE,0,HLOOKUP($AL65&amp;"aa",[11]Feuil1!$A$27:$EP$48,8,FALSE))</f>
        <v>#N/A</v>
      </c>
      <c r="AY65" s="706" t="e">
        <f>IF(OR(HLOOKUP($AL65&amp;"a",[11]Feuil1!$A$27:$EP$48,9,FALSE)=FALSE,HLOOKUP($AL65&amp;"a",[11]Feuil1!$A$27:$EP$48,9,FALSE)=""),0,HLOOKUP($AL65&amp;"a",[11]Feuil1!$A$27:$EP$48,9,FALSE))</f>
        <v>#N/A</v>
      </c>
      <c r="AZ65" s="706" t="e">
        <f>IF(HLOOKUP($AL65&amp;"aa",[11]Feuil1!$A$27:$EP$48,9,FALSE)=FALSE,0,HLOOKUP($AL65&amp;"aa",[11]Feuil1!$A$27:$EP$48,9,FALSE))</f>
        <v>#N/A</v>
      </c>
      <c r="BA65" s="706" t="e">
        <f>IF(OR(HLOOKUP($AL65&amp;"a",[11]Feuil1!$A$27:$EP$48,10,FALSE)=FALSE,HLOOKUP($AL65&amp;"a",[11]Feuil1!$A$27:$EP$48,10,FALSE)=""),0,HLOOKUP($AL65&amp;"a",[11]Feuil1!$A$27:$EP$48,10,FALSE))</f>
        <v>#N/A</v>
      </c>
      <c r="BB65" s="706" t="e">
        <f>IF(HLOOKUP($AL65&amp;"aa",[11]Feuil1!$A$27:$EP$48,10,FALSE)=FALSE,0,HLOOKUP($AL65&amp;"aa",[11]Feuil1!$A$27:$EP$48,10,FALSE))</f>
        <v>#N/A</v>
      </c>
      <c r="BC65" s="706" t="e">
        <f>IF(OR(HLOOKUP($AL65&amp;"a",[11]Feuil1!$A$27:$EP$48,11,FALSE)=FALSE,HLOOKUP($AL65&amp;"a",[11]Feuil1!$A$27:$EP$48,11,FALSE)=""),0,HLOOKUP($AL65&amp;"a",[11]Feuil1!$A$27:$EP$48,11,FALSE))</f>
        <v>#N/A</v>
      </c>
      <c r="BD65" s="706" t="e">
        <f>IF(HLOOKUP($AL65&amp;"aa",[11]Feuil1!$A$27:$EP$48,11,FALSE)=FALSE,0,HLOOKUP($AL65&amp;"aa",[11]Feuil1!$A$27:$EP$48,11,FALSE))</f>
        <v>#N/A</v>
      </c>
      <c r="BE65" s="706" t="e">
        <f>IF(OR(HLOOKUP($AL65&amp;"a",[11]Feuil1!$A$27:$EP$48,12,FALSE)=FALSE,HLOOKUP($AL65&amp;"a",[11]Feuil1!$A$27:$EP$48,12,FALSE)=""),0,HLOOKUP($AL65&amp;"a",[11]Feuil1!$A$27:$EP$48,12,FALSE))</f>
        <v>#N/A</v>
      </c>
      <c r="BF65" s="706" t="e">
        <f>IF(HLOOKUP($AL65&amp;"aa",[11]Feuil1!$A$27:$EP$48,12,FALSE)=FALSE,0,HLOOKUP($AL65&amp;"aa",[11]Feuil1!$A$27:$EP$48,12,FALSE))</f>
        <v>#N/A</v>
      </c>
      <c r="BG65" s="706" t="e">
        <f>IF(OR(HLOOKUP($AL65&amp;"a",[11]Feuil1!$A$27:$EP$48,13,FALSE)=FALSE,HLOOKUP($AL65&amp;"a",[11]Feuil1!$A$27:$EP$48,13,FALSE)=""),0,HLOOKUP($AL65&amp;"a",[11]Feuil1!$A$27:$EP$48,13,FALSE))</f>
        <v>#N/A</v>
      </c>
      <c r="BH65" s="706" t="e">
        <f>IF(HLOOKUP($AL65&amp;"aa",[11]Feuil1!$A$27:$EP$48,13,FALSE)=FALSE,0,HLOOKUP($AL65&amp;"aa",[11]Feuil1!$A$27:$EP$48,13,FALSE))</f>
        <v>#N/A</v>
      </c>
      <c r="BI65" s="706" t="e">
        <f>IF(OR(HLOOKUP($AL65&amp;"a",[11]Feuil1!$A$27:$EP$48,14,FALSE)=FALSE,HLOOKUP($AL65&amp;"a",[11]Feuil1!$A$27:$EP$48,14,FALSE)=""),0,HLOOKUP($AL65&amp;"a",[11]Feuil1!$A$27:$EP$48,14,FALSE))</f>
        <v>#N/A</v>
      </c>
      <c r="BJ65" s="706" t="e">
        <f>IF(HLOOKUP($AL65&amp;"aa",[11]Feuil1!$A$27:$EP$48,14,FALSE)=FALSE,0,HLOOKUP($AL65&amp;"aa",[11]Feuil1!$A$27:$EP$48,14,FALSE))</f>
        <v>#N/A</v>
      </c>
      <c r="BK65" s="706" t="e">
        <f>IF(OR(HLOOKUP($AL65&amp;"a",[11]Feuil1!$A$27:$EP$48,15,FALSE)=FALSE,HLOOKUP($AL65&amp;"a",[11]Feuil1!$A$27:$EP$48,15,FALSE)=""),0,HLOOKUP($AL65&amp;"a",[11]Feuil1!$A$27:$EP$48,15,FALSE))</f>
        <v>#N/A</v>
      </c>
      <c r="BL65" s="706" t="e">
        <f>IF(HLOOKUP($AL65&amp;"aa",[11]Feuil1!$A$27:$EP$48,15,FALSE)=FALSE,0,HLOOKUP($AL65&amp;"aa",[11]Feuil1!$A$27:$EP$48,15,FALSE))</f>
        <v>#N/A</v>
      </c>
      <c r="BM65" s="706" t="e">
        <f>IF(OR(HLOOKUP($AL65&amp;"a",[11]Feuil1!$A$27:$EP$48,16,FALSE)=FALSE,HLOOKUP($AL65&amp;"a",[11]Feuil1!$A$27:$EP$48,16,FALSE)=""),0,HLOOKUP($AL65&amp;"a",[11]Feuil1!$A$27:$EP$48,16,FALSE))</f>
        <v>#N/A</v>
      </c>
      <c r="BN65" s="706" t="e">
        <f>IF(HLOOKUP($AL65&amp;"aa",[11]Feuil1!$A$27:$EP$48,16,FALSE)=FALSE,0,HLOOKUP($AL65&amp;"aa",[11]Feuil1!$A$27:$EP$48,16,FALSE))</f>
        <v>#N/A</v>
      </c>
      <c r="BO65" s="706" t="e">
        <f>IF(OR(HLOOKUP($AL65&amp;"a",[11]Feuil1!$A$27:$EP$48,17,FALSE)=FALSE,HLOOKUP($AL65&amp;"a",[11]Feuil1!$A$27:$EP$48,17,FALSE)=""),0,HLOOKUP($AL65&amp;"a",[11]Feuil1!$A$27:$EP$48,17,FALSE))</f>
        <v>#N/A</v>
      </c>
      <c r="BP65" s="706" t="e">
        <f>IF(HLOOKUP($AL65&amp;"aa",[11]Feuil1!$A$27:$EP$48,17,FALSE)=FALSE,0,HLOOKUP($AL65&amp;"aa",[11]Feuil1!$A$27:$EP$48,17,FALSE))</f>
        <v>#N/A</v>
      </c>
      <c r="BQ65" s="706" t="e">
        <f>IF(OR(HLOOKUP($AL65&amp;"a",[11]Feuil1!$A$27:$EP$48,18,FALSE)=FALSE,HLOOKUP($AL65&amp;"a",[11]Feuil1!$A$27:$EP$48,18,FALSE)=""),0,HLOOKUP($AL65&amp;"a",[11]Feuil1!$A$27:$EP$48,18,FALSE))</f>
        <v>#N/A</v>
      </c>
      <c r="BR65" s="706" t="e">
        <f>IF(HLOOKUP($AL65&amp;"aa",[11]Feuil1!$A$27:$EP$48,18,FALSE)=FALSE,0,HLOOKUP($AL65&amp;"aa",[11]Feuil1!$A$27:$EP$48,18,FALSE))</f>
        <v>#N/A</v>
      </c>
      <c r="BS65" s="707" t="e">
        <f t="shared" si="29"/>
        <v>#N/A</v>
      </c>
      <c r="BT65" s="707" t="e">
        <f t="shared" si="30"/>
        <v>#N/A</v>
      </c>
      <c r="BU65" s="707">
        <f t="shared" si="31"/>
        <v>0</v>
      </c>
      <c r="BV65" s="561"/>
      <c r="BW65" s="561"/>
      <c r="BX65" s="814"/>
      <c r="BY65" s="814"/>
      <c r="BZ65" s="814"/>
      <c r="CA65" s="588"/>
      <c r="CB65" s="588"/>
      <c r="CC65" s="589"/>
      <c r="CD65" s="561"/>
      <c r="CE65" s="561"/>
      <c r="CF65" s="561"/>
      <c r="CG65" s="561"/>
      <c r="CH65" s="561"/>
      <c r="CI65" s="714"/>
      <c r="CK65" s="715">
        <f t="shared" si="36"/>
        <v>0</v>
      </c>
      <c r="CL65" s="591">
        <f t="shared" si="17"/>
        <v>0</v>
      </c>
      <c r="CM65" s="716" t="str">
        <f t="shared" si="47"/>
        <v/>
      </c>
      <c r="CN65" s="716" t="str">
        <f t="shared" si="47"/>
        <v/>
      </c>
      <c r="CO65" s="716" t="str">
        <f t="shared" si="47"/>
        <v/>
      </c>
      <c r="CP65" s="716" t="str">
        <f t="shared" si="47"/>
        <v/>
      </c>
      <c r="CQ65" s="716" t="str">
        <f t="shared" si="47"/>
        <v/>
      </c>
      <c r="CR65" s="716" t="str">
        <f t="shared" si="47"/>
        <v/>
      </c>
      <c r="CS65" s="716" t="str">
        <f t="shared" si="48"/>
        <v/>
      </c>
      <c r="CT65" s="716" t="str">
        <f t="shared" si="48"/>
        <v/>
      </c>
      <c r="CU65" s="716" t="str">
        <f t="shared" si="48"/>
        <v/>
      </c>
      <c r="CV65" s="717" t="str">
        <f t="shared" si="37"/>
        <v/>
      </c>
      <c r="CW65" s="718" t="str">
        <f>IF(E65=0,"",VLOOKUP(B65,[10]liste!AU:BD,10,FALSE))</f>
        <v/>
      </c>
      <c r="CX65" s="719">
        <f t="shared" si="19"/>
        <v>0</v>
      </c>
      <c r="CY65" s="720" t="str">
        <f t="shared" si="38"/>
        <v>NC</v>
      </c>
      <c r="CZ65" s="789"/>
      <c r="DA65" s="789"/>
      <c r="DB65" s="789"/>
      <c r="DC65" s="722" t="str">
        <f t="shared" si="20"/>
        <v/>
      </c>
      <c r="DE65" s="723" t="str">
        <f t="shared" si="21"/>
        <v/>
      </c>
      <c r="DF65" s="723" t="str">
        <f t="shared" si="22"/>
        <v/>
      </c>
      <c r="DG65" s="697" t="str">
        <f t="shared" si="23"/>
        <v/>
      </c>
      <c r="DH65" s="724" t="str">
        <f t="shared" si="24"/>
        <v/>
      </c>
      <c r="DI65" s="724" t="str">
        <f t="shared" si="39"/>
        <v/>
      </c>
      <c r="DJ65" s="719">
        <f t="shared" si="25"/>
        <v>0</v>
      </c>
      <c r="DK65" s="719">
        <f t="shared" si="26"/>
        <v>0</v>
      </c>
      <c r="DL65" s="719">
        <f t="shared" si="40"/>
        <v>0</v>
      </c>
      <c r="DM65" s="789"/>
      <c r="DN65" s="789"/>
      <c r="DO65" s="789"/>
      <c r="DP65" s="720" t="str">
        <f t="shared" si="41"/>
        <v>NC</v>
      </c>
      <c r="DQ65" s="591">
        <f>VLOOKUP(DG65,[10]résultats!$A$2:$DE$70,109,FALSE)</f>
        <v>0</v>
      </c>
      <c r="DR65" s="591">
        <f>VLOOKUP(DG65,[10]résultats!$A$2:$DG$70,111,FALSE)</f>
        <v>0</v>
      </c>
      <c r="DU65" s="591">
        <f t="shared" si="43"/>
        <v>0</v>
      </c>
    </row>
    <row r="66" spans="1:125" s="554" customFormat="1" ht="20.25">
      <c r="A66" s="800" t="str">
        <f t="shared" si="9"/>
        <v/>
      </c>
      <c r="B66" s="801" t="str">
        <f>IF(E66=0,"",VLOOKUP(E66,[10]liste!AM:AN,2,FALSE))</f>
        <v/>
      </c>
      <c r="C66" s="802" t="str">
        <f>IF(E66=0,"",VLOOKUP(B66,[10]liste!AN:AP,3,FALSE))</f>
        <v/>
      </c>
      <c r="D66" s="803" t="str">
        <f t="shared" si="10"/>
        <v/>
      </c>
      <c r="E66" s="804">
        <f>LARGE([10]liste!AM:AM,51)</f>
        <v>0</v>
      </c>
      <c r="G66" s="805"/>
      <c r="H66" s="805"/>
      <c r="I66" s="804"/>
      <c r="J66" s="805"/>
      <c r="K66" s="805"/>
      <c r="L66" s="805"/>
      <c r="M66" s="804"/>
      <c r="N66" s="806"/>
      <c r="O66" s="806"/>
      <c r="P66" s="695">
        <f t="shared" ca="1" si="11"/>
        <v>0</v>
      </c>
      <c r="Q66" s="807">
        <f t="shared" si="12"/>
        <v>0</v>
      </c>
      <c r="R66" s="808">
        <f>IF(B66="",0,VLOOKUP(B66,[10]résultats!AX:DH,63,FALSE))</f>
        <v>0</v>
      </c>
      <c r="S66" s="809" t="str">
        <f t="shared" si="13"/>
        <v/>
      </c>
      <c r="T66" s="807"/>
      <c r="U66" s="807"/>
      <c r="V66" s="810"/>
      <c r="W66" s="810"/>
      <c r="X66" s="810"/>
      <c r="Y66" s="811">
        <f t="shared" si="15"/>
        <v>0</v>
      </c>
      <c r="Z66" s="815"/>
      <c r="AA66" s="816"/>
      <c r="AB66" s="813"/>
      <c r="AC66" s="813"/>
      <c r="AD66" s="1158"/>
      <c r="AE66" s="1158"/>
      <c r="AF66" s="1158"/>
      <c r="AG66" s="1158"/>
      <c r="AH66" s="1158"/>
      <c r="AI66" s="1158"/>
      <c r="AJ66" s="799"/>
      <c r="AK66" s="677">
        <f t="shared" si="28"/>
        <v>0</v>
      </c>
      <c r="AM66" s="706" t="e">
        <f>IF(OR(HLOOKUP($AL66&amp;"a",[11]Feuil1!$A$27:$EP$48,3,FALSE)=FALSE,HLOOKUP($AL66&amp;"a",[11]Feuil1!$A$27:$EP$48,3,FALSE)=""),0,HLOOKUP($AL66&amp;"a",[11]Feuil1!$A$27:$EP$48,3,FALSE))</f>
        <v>#N/A</v>
      </c>
      <c r="AN66" s="706" t="e">
        <f>IF(HLOOKUP($AL66&amp;"aa",[11]Feuil1!$A$27:$EP$48,3,FALSE)=FALSE,0,HLOOKUP($AL66&amp;"aa",[11]Feuil1!$A$27:$EP$48,3,FALSE))</f>
        <v>#N/A</v>
      </c>
      <c r="AO66" s="706" t="e">
        <f>IF(OR(HLOOKUP($AL66&amp;"a",[11]Feuil1!$A$27:$EP$48,4,FALSE)=FALSE,HLOOKUP($AL66&amp;"a",[11]Feuil1!$A$27:$EP$48,4,FALSE)=""),0,HLOOKUP($AL66&amp;"a",[11]Feuil1!$A$27:$EP$48,4,FALSE))</f>
        <v>#N/A</v>
      </c>
      <c r="AP66" s="706" t="e">
        <f>IF(HLOOKUP($AL66&amp;"aa",[11]Feuil1!$A$27:$EP$48,4,FALSE)=FALSE,0,HLOOKUP($AL66&amp;"aa",[11]Feuil1!$A$27:$EP$48,4,FALSE))</f>
        <v>#N/A</v>
      </c>
      <c r="AQ66" s="706" t="e">
        <f>IF(OR(HLOOKUP($AL66&amp;"a",[11]Feuil1!$A$27:$EP$48,5,FALSE)=FALSE,HLOOKUP($AL66&amp;"a",[11]Feuil1!$A$27:$EP$48,5,FALSE)=""),0,HLOOKUP($AL66&amp;"a",[11]Feuil1!$A$27:$EP$48,5,FALSE))</f>
        <v>#N/A</v>
      </c>
      <c r="AR66" s="706" t="e">
        <f>IF(HLOOKUP($AL66&amp;"aa",[11]Feuil1!$A$27:$EP$48,5,FALSE)=FALSE,0,HLOOKUP($AL66&amp;"aa",[11]Feuil1!$A$27:$EP$48,5,FALSE))</f>
        <v>#N/A</v>
      </c>
      <c r="AS66" s="706" t="e">
        <f>IF(OR(HLOOKUP($AL66&amp;"a",[11]Feuil1!$A$27:$EP$48,6,FALSE)=FALSE,HLOOKUP($AL66&amp;"a",[11]Feuil1!$A$27:$EP$48,6,FALSE)=""),0,HLOOKUP($AL66&amp;"a",[11]Feuil1!$A$27:$EP$48,6,FALSE))</f>
        <v>#N/A</v>
      </c>
      <c r="AT66" s="706" t="e">
        <f>IF(HLOOKUP($AL66&amp;"aa",[11]Feuil1!$A$27:$EP$48,6,FALSE)=FALSE,0,HLOOKUP($AL66&amp;"aa",[11]Feuil1!$A$27:$EP$48,6,FALSE))</f>
        <v>#N/A</v>
      </c>
      <c r="AU66" s="706" t="e">
        <f>IF(OR(HLOOKUP($AL66&amp;"a",[11]Feuil1!$A$27:$EP$48,7,FALSE)=FALSE,HLOOKUP($AL66&amp;"a",[11]Feuil1!$A$27:$EP$48,7,FALSE)=""),0,HLOOKUP($AL66&amp;"a",[11]Feuil1!$A$27:$EP$48,7,FALSE))</f>
        <v>#N/A</v>
      </c>
      <c r="AV66" s="706" t="e">
        <f>IF(HLOOKUP($AL66&amp;"aa",[11]Feuil1!$A$27:$EP$48,7,FALSE)=FALSE,0,HLOOKUP($AL66&amp;"aa",[11]Feuil1!$A$27:$EP$48,7,FALSE))</f>
        <v>#N/A</v>
      </c>
      <c r="AW66" s="706" t="e">
        <f>IF(OR(HLOOKUP($AL66&amp;"a",[11]Feuil1!$A$27:$EP$48,8,FALSE)=FALSE,HLOOKUP($AL66&amp;"a",[11]Feuil1!$A$27:$EP$48,8,FALSE)=""),0,HLOOKUP($AL66&amp;"a",[11]Feuil1!$A$27:$EP$48,8,FALSE))</f>
        <v>#N/A</v>
      </c>
      <c r="AX66" s="706" t="e">
        <f>IF(HLOOKUP($AL66&amp;"aa",[11]Feuil1!$A$27:$EP$48,8,FALSE)=FALSE,0,HLOOKUP($AL66&amp;"aa",[11]Feuil1!$A$27:$EP$48,8,FALSE))</f>
        <v>#N/A</v>
      </c>
      <c r="AY66" s="706" t="e">
        <f>IF(OR(HLOOKUP($AL66&amp;"a",[11]Feuil1!$A$27:$EP$48,9,FALSE)=FALSE,HLOOKUP($AL66&amp;"a",[11]Feuil1!$A$27:$EP$48,9,FALSE)=""),0,HLOOKUP($AL66&amp;"a",[11]Feuil1!$A$27:$EP$48,9,FALSE))</f>
        <v>#N/A</v>
      </c>
      <c r="AZ66" s="706" t="e">
        <f>IF(HLOOKUP($AL66&amp;"aa",[11]Feuil1!$A$27:$EP$48,9,FALSE)=FALSE,0,HLOOKUP($AL66&amp;"aa",[11]Feuil1!$A$27:$EP$48,9,FALSE))</f>
        <v>#N/A</v>
      </c>
      <c r="BA66" s="706" t="e">
        <f>IF(OR(HLOOKUP($AL66&amp;"a",[11]Feuil1!$A$27:$EP$48,10,FALSE)=FALSE,HLOOKUP($AL66&amp;"a",[11]Feuil1!$A$27:$EP$48,10,FALSE)=""),0,HLOOKUP($AL66&amp;"a",[11]Feuil1!$A$27:$EP$48,10,FALSE))</f>
        <v>#N/A</v>
      </c>
      <c r="BB66" s="706" t="e">
        <f>IF(HLOOKUP($AL66&amp;"aa",[11]Feuil1!$A$27:$EP$48,10,FALSE)=FALSE,0,HLOOKUP($AL66&amp;"aa",[11]Feuil1!$A$27:$EP$48,10,FALSE))</f>
        <v>#N/A</v>
      </c>
      <c r="BC66" s="706" t="e">
        <f>IF(OR(HLOOKUP($AL66&amp;"a",[11]Feuil1!$A$27:$EP$48,11,FALSE)=FALSE,HLOOKUP($AL66&amp;"a",[11]Feuil1!$A$27:$EP$48,11,FALSE)=""),0,HLOOKUP($AL66&amp;"a",[11]Feuil1!$A$27:$EP$48,11,FALSE))</f>
        <v>#N/A</v>
      </c>
      <c r="BD66" s="706" t="e">
        <f>IF(HLOOKUP($AL66&amp;"aa",[11]Feuil1!$A$27:$EP$48,11,FALSE)=FALSE,0,HLOOKUP($AL66&amp;"aa",[11]Feuil1!$A$27:$EP$48,11,FALSE))</f>
        <v>#N/A</v>
      </c>
      <c r="BE66" s="706" t="e">
        <f>IF(OR(HLOOKUP($AL66&amp;"a",[11]Feuil1!$A$27:$EP$48,12,FALSE)=FALSE,HLOOKUP($AL66&amp;"a",[11]Feuil1!$A$27:$EP$48,12,FALSE)=""),0,HLOOKUP($AL66&amp;"a",[11]Feuil1!$A$27:$EP$48,12,FALSE))</f>
        <v>#N/A</v>
      </c>
      <c r="BF66" s="706" t="e">
        <f>IF(HLOOKUP($AL66&amp;"aa",[11]Feuil1!$A$27:$EP$48,12,FALSE)=FALSE,0,HLOOKUP($AL66&amp;"aa",[11]Feuil1!$A$27:$EP$48,12,FALSE))</f>
        <v>#N/A</v>
      </c>
      <c r="BG66" s="706" t="e">
        <f>IF(OR(HLOOKUP($AL66&amp;"a",[11]Feuil1!$A$27:$EP$48,13,FALSE)=FALSE,HLOOKUP($AL66&amp;"a",[11]Feuil1!$A$27:$EP$48,13,FALSE)=""),0,HLOOKUP($AL66&amp;"a",[11]Feuil1!$A$27:$EP$48,13,FALSE))</f>
        <v>#N/A</v>
      </c>
      <c r="BH66" s="706" t="e">
        <f>IF(HLOOKUP($AL66&amp;"aa",[11]Feuil1!$A$27:$EP$48,13,FALSE)=FALSE,0,HLOOKUP($AL66&amp;"aa",[11]Feuil1!$A$27:$EP$48,13,FALSE))</f>
        <v>#N/A</v>
      </c>
      <c r="BI66" s="706" t="e">
        <f>IF(OR(HLOOKUP($AL66&amp;"a",[11]Feuil1!$A$27:$EP$48,14,FALSE)=FALSE,HLOOKUP($AL66&amp;"a",[11]Feuil1!$A$27:$EP$48,14,FALSE)=""),0,HLOOKUP($AL66&amp;"a",[11]Feuil1!$A$27:$EP$48,14,FALSE))</f>
        <v>#N/A</v>
      </c>
      <c r="BJ66" s="706" t="e">
        <f>IF(HLOOKUP($AL66&amp;"aa",[11]Feuil1!$A$27:$EP$48,14,FALSE)=FALSE,0,HLOOKUP($AL66&amp;"aa",[11]Feuil1!$A$27:$EP$48,14,FALSE))</f>
        <v>#N/A</v>
      </c>
      <c r="BK66" s="706" t="e">
        <f>IF(OR(HLOOKUP($AL66&amp;"a",[11]Feuil1!$A$27:$EP$48,15,FALSE)=FALSE,HLOOKUP($AL66&amp;"a",[11]Feuil1!$A$27:$EP$48,15,FALSE)=""),0,HLOOKUP($AL66&amp;"a",[11]Feuil1!$A$27:$EP$48,15,FALSE))</f>
        <v>#N/A</v>
      </c>
      <c r="BL66" s="706" t="e">
        <f>IF(HLOOKUP($AL66&amp;"aa",[11]Feuil1!$A$27:$EP$48,15,FALSE)=FALSE,0,HLOOKUP($AL66&amp;"aa",[11]Feuil1!$A$27:$EP$48,15,FALSE))</f>
        <v>#N/A</v>
      </c>
      <c r="BM66" s="706" t="e">
        <f>IF(OR(HLOOKUP($AL66&amp;"a",[11]Feuil1!$A$27:$EP$48,16,FALSE)=FALSE,HLOOKUP($AL66&amp;"a",[11]Feuil1!$A$27:$EP$48,16,FALSE)=""),0,HLOOKUP($AL66&amp;"a",[11]Feuil1!$A$27:$EP$48,16,FALSE))</f>
        <v>#N/A</v>
      </c>
      <c r="BN66" s="706" t="e">
        <f>IF(HLOOKUP($AL66&amp;"aa",[11]Feuil1!$A$27:$EP$48,16,FALSE)=FALSE,0,HLOOKUP($AL66&amp;"aa",[11]Feuil1!$A$27:$EP$48,16,FALSE))</f>
        <v>#N/A</v>
      </c>
      <c r="BO66" s="706" t="e">
        <f>IF(OR(HLOOKUP($AL66&amp;"a",[11]Feuil1!$A$27:$EP$48,17,FALSE)=FALSE,HLOOKUP($AL66&amp;"a",[11]Feuil1!$A$27:$EP$48,17,FALSE)=""),0,HLOOKUP($AL66&amp;"a",[11]Feuil1!$A$27:$EP$48,17,FALSE))</f>
        <v>#N/A</v>
      </c>
      <c r="BP66" s="706" t="e">
        <f>IF(HLOOKUP($AL66&amp;"aa",[11]Feuil1!$A$27:$EP$48,17,FALSE)=FALSE,0,HLOOKUP($AL66&amp;"aa",[11]Feuil1!$A$27:$EP$48,17,FALSE))</f>
        <v>#N/A</v>
      </c>
      <c r="BQ66" s="706" t="e">
        <f>IF(OR(HLOOKUP($AL66&amp;"a",[11]Feuil1!$A$27:$EP$48,18,FALSE)=FALSE,HLOOKUP($AL66&amp;"a",[11]Feuil1!$A$27:$EP$48,18,FALSE)=""),0,HLOOKUP($AL66&amp;"a",[11]Feuil1!$A$27:$EP$48,18,FALSE))</f>
        <v>#N/A</v>
      </c>
      <c r="BR66" s="706" t="e">
        <f>IF(HLOOKUP($AL66&amp;"aa",[11]Feuil1!$A$27:$EP$48,18,FALSE)=FALSE,0,HLOOKUP($AL66&amp;"aa",[11]Feuil1!$A$27:$EP$48,18,FALSE))</f>
        <v>#N/A</v>
      </c>
      <c r="BS66" s="707" t="e">
        <f t="shared" si="29"/>
        <v>#N/A</v>
      </c>
      <c r="BT66" s="707" t="e">
        <f t="shared" si="30"/>
        <v>#N/A</v>
      </c>
      <c r="BU66" s="707">
        <f t="shared" si="31"/>
        <v>0</v>
      </c>
      <c r="BV66" s="561"/>
      <c r="BW66" s="561"/>
      <c r="BX66" s="814"/>
      <c r="BY66" s="814"/>
      <c r="BZ66" s="814"/>
      <c r="CA66" s="588"/>
      <c r="CB66" s="588"/>
      <c r="CC66" s="589"/>
      <c r="CD66" s="561"/>
      <c r="CE66" s="561"/>
      <c r="CF66" s="561"/>
      <c r="CG66" s="561"/>
      <c r="CH66" s="561"/>
      <c r="CI66" s="714"/>
      <c r="CK66" s="715">
        <f t="shared" si="36"/>
        <v>0</v>
      </c>
      <c r="CL66" s="591">
        <f t="shared" si="17"/>
        <v>0</v>
      </c>
      <c r="CM66" s="716" t="str">
        <f t="shared" si="47"/>
        <v/>
      </c>
      <c r="CN66" s="716" t="str">
        <f t="shared" si="47"/>
        <v/>
      </c>
      <c r="CO66" s="716" t="str">
        <f t="shared" si="47"/>
        <v/>
      </c>
      <c r="CP66" s="716" t="str">
        <f t="shared" si="47"/>
        <v/>
      </c>
      <c r="CQ66" s="716" t="str">
        <f t="shared" si="47"/>
        <v/>
      </c>
      <c r="CR66" s="716" t="str">
        <f t="shared" si="47"/>
        <v/>
      </c>
      <c r="CS66" s="716" t="str">
        <f t="shared" si="48"/>
        <v/>
      </c>
      <c r="CT66" s="716" t="str">
        <f t="shared" si="48"/>
        <v/>
      </c>
      <c r="CU66" s="716" t="str">
        <f t="shared" si="48"/>
        <v/>
      </c>
      <c r="CV66" s="717" t="str">
        <f t="shared" si="37"/>
        <v/>
      </c>
      <c r="CW66" s="718" t="str">
        <f>IF(E66=0,"",VLOOKUP(B66,[10]liste!AU:BD,10,FALSE))</f>
        <v/>
      </c>
      <c r="CX66" s="719">
        <f t="shared" si="19"/>
        <v>0</v>
      </c>
      <c r="CY66" s="720" t="str">
        <f t="shared" si="38"/>
        <v>NC</v>
      </c>
      <c r="CZ66" s="789"/>
      <c r="DA66" s="789"/>
      <c r="DB66" s="789"/>
      <c r="DC66" s="722" t="str">
        <f t="shared" si="20"/>
        <v/>
      </c>
      <c r="DE66" s="723" t="str">
        <f t="shared" si="21"/>
        <v/>
      </c>
      <c r="DF66" s="723" t="str">
        <f t="shared" si="22"/>
        <v/>
      </c>
      <c r="DG66" s="697" t="str">
        <f t="shared" si="23"/>
        <v/>
      </c>
      <c r="DH66" s="724" t="str">
        <f t="shared" si="24"/>
        <v/>
      </c>
      <c r="DI66" s="724" t="str">
        <f t="shared" si="39"/>
        <v/>
      </c>
      <c r="DJ66" s="719">
        <f t="shared" si="25"/>
        <v>0</v>
      </c>
      <c r="DK66" s="719">
        <f t="shared" si="26"/>
        <v>0</v>
      </c>
      <c r="DL66" s="719">
        <f t="shared" si="40"/>
        <v>0</v>
      </c>
      <c r="DM66" s="789"/>
      <c r="DN66" s="789"/>
      <c r="DO66" s="789"/>
      <c r="DP66" s="720" t="str">
        <f t="shared" si="41"/>
        <v>NC</v>
      </c>
      <c r="DQ66" s="591">
        <f>VLOOKUP(DG66,[10]résultats!$A$2:$DE$70,109,FALSE)</f>
        <v>0</v>
      </c>
      <c r="DR66" s="591">
        <f>VLOOKUP(DG66,[10]résultats!$A$2:$DG$70,111,FALSE)</f>
        <v>0</v>
      </c>
      <c r="DU66" s="591">
        <f t="shared" si="43"/>
        <v>0</v>
      </c>
    </row>
    <row r="67" spans="1:125" s="554" customFormat="1" ht="20.25">
      <c r="A67" s="800" t="str">
        <f t="shared" si="9"/>
        <v/>
      </c>
      <c r="B67" s="801" t="str">
        <f>IF(E67=0,"",VLOOKUP(E67,[10]liste!AM:AN,2,FALSE))</f>
        <v/>
      </c>
      <c r="C67" s="802" t="str">
        <f>IF(E67=0,"",VLOOKUP(B67,[10]liste!AN:AP,3,FALSE))</f>
        <v/>
      </c>
      <c r="D67" s="803" t="str">
        <f t="shared" si="10"/>
        <v/>
      </c>
      <c r="E67" s="804">
        <f>LARGE([10]liste!AM:AM,52)</f>
        <v>0</v>
      </c>
      <c r="G67" s="805"/>
      <c r="H67" s="805"/>
      <c r="I67" s="804"/>
      <c r="J67" s="805"/>
      <c r="K67" s="805"/>
      <c r="L67" s="805"/>
      <c r="M67" s="804"/>
      <c r="N67" s="806"/>
      <c r="O67" s="806"/>
      <c r="P67" s="695">
        <f t="shared" ca="1" si="11"/>
        <v>0</v>
      </c>
      <c r="Q67" s="807">
        <f t="shared" si="12"/>
        <v>0</v>
      </c>
      <c r="R67" s="808">
        <f>IF(B67="",0,VLOOKUP(B67,[10]résultats!AX:DH,63,FALSE))</f>
        <v>0</v>
      </c>
      <c r="S67" s="809" t="str">
        <f t="shared" si="13"/>
        <v/>
      </c>
      <c r="T67" s="807"/>
      <c r="U67" s="807"/>
      <c r="V67" s="810"/>
      <c r="W67" s="810"/>
      <c r="X67" s="810"/>
      <c r="Y67" s="811">
        <f t="shared" si="15"/>
        <v>0</v>
      </c>
      <c r="Z67" s="815"/>
      <c r="AA67" s="816" t="s">
        <v>618</v>
      </c>
      <c r="AB67" s="813"/>
      <c r="AC67" s="813"/>
      <c r="AD67" s="1159"/>
      <c r="AE67" s="1159"/>
      <c r="AF67" s="1159"/>
      <c r="AG67" s="1159"/>
      <c r="AH67" s="1159"/>
      <c r="AI67" s="1159"/>
      <c r="AJ67" s="799"/>
      <c r="AK67" s="677">
        <f t="shared" si="28"/>
        <v>0</v>
      </c>
      <c r="AM67" s="706" t="e">
        <f>IF(OR(HLOOKUP($AL67&amp;"a",[11]Feuil1!$A$27:$EP$48,3,FALSE)=FALSE,HLOOKUP($AL67&amp;"a",[11]Feuil1!$A$27:$EP$48,3,FALSE)=""),0,HLOOKUP($AL67&amp;"a",[11]Feuil1!$A$27:$EP$48,3,FALSE))</f>
        <v>#N/A</v>
      </c>
      <c r="AN67" s="706" t="e">
        <f>IF(HLOOKUP($AL67&amp;"aa",[11]Feuil1!$A$27:$EP$48,3,FALSE)=FALSE,0,HLOOKUP($AL67&amp;"aa",[11]Feuil1!$A$27:$EP$48,3,FALSE))</f>
        <v>#N/A</v>
      </c>
      <c r="AO67" s="706" t="e">
        <f>IF(OR(HLOOKUP($AL67&amp;"a",[11]Feuil1!$A$27:$EP$48,4,FALSE)=FALSE,HLOOKUP($AL67&amp;"a",[11]Feuil1!$A$27:$EP$48,4,FALSE)=""),0,HLOOKUP($AL67&amp;"a",[11]Feuil1!$A$27:$EP$48,4,FALSE))</f>
        <v>#N/A</v>
      </c>
      <c r="AP67" s="706" t="e">
        <f>IF(HLOOKUP($AL67&amp;"aa",[11]Feuil1!$A$27:$EP$48,4,FALSE)=FALSE,0,HLOOKUP($AL67&amp;"aa",[11]Feuil1!$A$27:$EP$48,4,FALSE))</f>
        <v>#N/A</v>
      </c>
      <c r="AQ67" s="706" t="e">
        <f>IF(OR(HLOOKUP($AL67&amp;"a",[11]Feuil1!$A$27:$EP$48,5,FALSE)=FALSE,HLOOKUP($AL67&amp;"a",[11]Feuil1!$A$27:$EP$48,5,FALSE)=""),0,HLOOKUP($AL67&amp;"a",[11]Feuil1!$A$27:$EP$48,5,FALSE))</f>
        <v>#N/A</v>
      </c>
      <c r="AR67" s="706" t="e">
        <f>IF(HLOOKUP($AL67&amp;"aa",[11]Feuil1!$A$27:$EP$48,5,FALSE)=FALSE,0,HLOOKUP($AL67&amp;"aa",[11]Feuil1!$A$27:$EP$48,5,FALSE))</f>
        <v>#N/A</v>
      </c>
      <c r="AS67" s="706" t="e">
        <f>IF(OR(HLOOKUP($AL67&amp;"a",[11]Feuil1!$A$27:$EP$48,6,FALSE)=FALSE,HLOOKUP($AL67&amp;"a",[11]Feuil1!$A$27:$EP$48,6,FALSE)=""),0,HLOOKUP($AL67&amp;"a",[11]Feuil1!$A$27:$EP$48,6,FALSE))</f>
        <v>#N/A</v>
      </c>
      <c r="AT67" s="706" t="e">
        <f>IF(HLOOKUP($AL67&amp;"aa",[11]Feuil1!$A$27:$EP$48,6,FALSE)=FALSE,0,HLOOKUP($AL67&amp;"aa",[11]Feuil1!$A$27:$EP$48,6,FALSE))</f>
        <v>#N/A</v>
      </c>
      <c r="AU67" s="706" t="e">
        <f>IF(OR(HLOOKUP($AL67&amp;"a",[11]Feuil1!$A$27:$EP$48,7,FALSE)=FALSE,HLOOKUP($AL67&amp;"a",[11]Feuil1!$A$27:$EP$48,7,FALSE)=""),0,HLOOKUP($AL67&amp;"a",[11]Feuil1!$A$27:$EP$48,7,FALSE))</f>
        <v>#N/A</v>
      </c>
      <c r="AV67" s="706" t="e">
        <f>IF(HLOOKUP($AL67&amp;"aa",[11]Feuil1!$A$27:$EP$48,7,FALSE)=FALSE,0,HLOOKUP($AL67&amp;"aa",[11]Feuil1!$A$27:$EP$48,7,FALSE))</f>
        <v>#N/A</v>
      </c>
      <c r="AW67" s="706" t="e">
        <f>IF(OR(HLOOKUP($AL67&amp;"a",[11]Feuil1!$A$27:$EP$48,8,FALSE)=FALSE,HLOOKUP($AL67&amp;"a",[11]Feuil1!$A$27:$EP$48,8,FALSE)=""),0,HLOOKUP($AL67&amp;"a",[11]Feuil1!$A$27:$EP$48,8,FALSE))</f>
        <v>#N/A</v>
      </c>
      <c r="AX67" s="706" t="e">
        <f>IF(HLOOKUP($AL67&amp;"aa",[11]Feuil1!$A$27:$EP$48,8,FALSE)=FALSE,0,HLOOKUP($AL67&amp;"aa",[11]Feuil1!$A$27:$EP$48,8,FALSE))</f>
        <v>#N/A</v>
      </c>
      <c r="AY67" s="706" t="e">
        <f>IF(OR(HLOOKUP($AL67&amp;"a",[11]Feuil1!$A$27:$EP$48,9,FALSE)=FALSE,HLOOKUP($AL67&amp;"a",[11]Feuil1!$A$27:$EP$48,9,FALSE)=""),0,HLOOKUP($AL67&amp;"a",[11]Feuil1!$A$27:$EP$48,9,FALSE))</f>
        <v>#N/A</v>
      </c>
      <c r="AZ67" s="706" t="e">
        <f>IF(HLOOKUP($AL67&amp;"aa",[11]Feuil1!$A$27:$EP$48,9,FALSE)=FALSE,0,HLOOKUP($AL67&amp;"aa",[11]Feuil1!$A$27:$EP$48,9,FALSE))</f>
        <v>#N/A</v>
      </c>
      <c r="BA67" s="706" t="e">
        <f>IF(OR(HLOOKUP($AL67&amp;"a",[11]Feuil1!$A$27:$EP$48,10,FALSE)=FALSE,HLOOKUP($AL67&amp;"a",[11]Feuil1!$A$27:$EP$48,10,FALSE)=""),0,HLOOKUP($AL67&amp;"a",[11]Feuil1!$A$27:$EP$48,10,FALSE))</f>
        <v>#N/A</v>
      </c>
      <c r="BB67" s="706" t="e">
        <f>IF(HLOOKUP($AL67&amp;"aa",[11]Feuil1!$A$27:$EP$48,10,FALSE)=FALSE,0,HLOOKUP($AL67&amp;"aa",[11]Feuil1!$A$27:$EP$48,10,FALSE))</f>
        <v>#N/A</v>
      </c>
      <c r="BC67" s="706" t="e">
        <f>IF(OR(HLOOKUP($AL67&amp;"a",[11]Feuil1!$A$27:$EP$48,11,FALSE)=FALSE,HLOOKUP($AL67&amp;"a",[11]Feuil1!$A$27:$EP$48,11,FALSE)=""),0,HLOOKUP($AL67&amp;"a",[11]Feuil1!$A$27:$EP$48,11,FALSE))</f>
        <v>#N/A</v>
      </c>
      <c r="BD67" s="706" t="e">
        <f>IF(HLOOKUP($AL67&amp;"aa",[11]Feuil1!$A$27:$EP$48,11,FALSE)=FALSE,0,HLOOKUP($AL67&amp;"aa",[11]Feuil1!$A$27:$EP$48,11,FALSE))</f>
        <v>#N/A</v>
      </c>
      <c r="BE67" s="706" t="e">
        <f>IF(OR(HLOOKUP($AL67&amp;"a",[11]Feuil1!$A$27:$EP$48,12,FALSE)=FALSE,HLOOKUP($AL67&amp;"a",[11]Feuil1!$A$27:$EP$48,12,FALSE)=""),0,HLOOKUP($AL67&amp;"a",[11]Feuil1!$A$27:$EP$48,12,FALSE))</f>
        <v>#N/A</v>
      </c>
      <c r="BF67" s="706" t="e">
        <f>IF(HLOOKUP($AL67&amp;"aa",[11]Feuil1!$A$27:$EP$48,12,FALSE)=FALSE,0,HLOOKUP($AL67&amp;"aa",[11]Feuil1!$A$27:$EP$48,12,FALSE))</f>
        <v>#N/A</v>
      </c>
      <c r="BG67" s="706" t="e">
        <f>IF(OR(HLOOKUP($AL67&amp;"a",[11]Feuil1!$A$27:$EP$48,13,FALSE)=FALSE,HLOOKUP($AL67&amp;"a",[11]Feuil1!$A$27:$EP$48,13,FALSE)=""),0,HLOOKUP($AL67&amp;"a",[11]Feuil1!$A$27:$EP$48,13,FALSE))</f>
        <v>#N/A</v>
      </c>
      <c r="BH67" s="706" t="e">
        <f>IF(HLOOKUP($AL67&amp;"aa",[11]Feuil1!$A$27:$EP$48,13,FALSE)=FALSE,0,HLOOKUP($AL67&amp;"aa",[11]Feuil1!$A$27:$EP$48,13,FALSE))</f>
        <v>#N/A</v>
      </c>
      <c r="BI67" s="706" t="e">
        <f>IF(OR(HLOOKUP($AL67&amp;"a",[11]Feuil1!$A$27:$EP$48,14,FALSE)=FALSE,HLOOKUP($AL67&amp;"a",[11]Feuil1!$A$27:$EP$48,14,FALSE)=""),0,HLOOKUP($AL67&amp;"a",[11]Feuil1!$A$27:$EP$48,14,FALSE))</f>
        <v>#N/A</v>
      </c>
      <c r="BJ67" s="706" t="e">
        <f>IF(HLOOKUP($AL67&amp;"aa",[11]Feuil1!$A$27:$EP$48,14,FALSE)=FALSE,0,HLOOKUP($AL67&amp;"aa",[11]Feuil1!$A$27:$EP$48,14,FALSE))</f>
        <v>#N/A</v>
      </c>
      <c r="BK67" s="706" t="e">
        <f>IF(OR(HLOOKUP($AL67&amp;"a",[11]Feuil1!$A$27:$EP$48,15,FALSE)=FALSE,HLOOKUP($AL67&amp;"a",[11]Feuil1!$A$27:$EP$48,15,FALSE)=""),0,HLOOKUP($AL67&amp;"a",[11]Feuil1!$A$27:$EP$48,15,FALSE))</f>
        <v>#N/A</v>
      </c>
      <c r="BL67" s="706" t="e">
        <f>IF(HLOOKUP($AL67&amp;"aa",[11]Feuil1!$A$27:$EP$48,15,FALSE)=FALSE,0,HLOOKUP($AL67&amp;"aa",[11]Feuil1!$A$27:$EP$48,15,FALSE))</f>
        <v>#N/A</v>
      </c>
      <c r="BM67" s="706" t="e">
        <f>IF(OR(HLOOKUP($AL67&amp;"a",[11]Feuil1!$A$27:$EP$48,16,FALSE)=FALSE,HLOOKUP($AL67&amp;"a",[11]Feuil1!$A$27:$EP$48,16,FALSE)=""),0,HLOOKUP($AL67&amp;"a",[11]Feuil1!$A$27:$EP$48,16,FALSE))</f>
        <v>#N/A</v>
      </c>
      <c r="BN67" s="706" t="e">
        <f>IF(HLOOKUP($AL67&amp;"aa",[11]Feuil1!$A$27:$EP$48,16,FALSE)=FALSE,0,HLOOKUP($AL67&amp;"aa",[11]Feuil1!$A$27:$EP$48,16,FALSE))</f>
        <v>#N/A</v>
      </c>
      <c r="BO67" s="706" t="e">
        <f>IF(OR(HLOOKUP($AL67&amp;"a",[11]Feuil1!$A$27:$EP$48,17,FALSE)=FALSE,HLOOKUP($AL67&amp;"a",[11]Feuil1!$A$27:$EP$48,17,FALSE)=""),0,HLOOKUP($AL67&amp;"a",[11]Feuil1!$A$27:$EP$48,17,FALSE))</f>
        <v>#N/A</v>
      </c>
      <c r="BP67" s="706" t="e">
        <f>IF(HLOOKUP($AL67&amp;"aa",[11]Feuil1!$A$27:$EP$48,17,FALSE)=FALSE,0,HLOOKUP($AL67&amp;"aa",[11]Feuil1!$A$27:$EP$48,17,FALSE))</f>
        <v>#N/A</v>
      </c>
      <c r="BQ67" s="706" t="e">
        <f>IF(OR(HLOOKUP($AL67&amp;"a",[11]Feuil1!$A$27:$EP$48,18,FALSE)=FALSE,HLOOKUP($AL67&amp;"a",[11]Feuil1!$A$27:$EP$48,18,FALSE)=""),0,HLOOKUP($AL67&amp;"a",[11]Feuil1!$A$27:$EP$48,18,FALSE))</f>
        <v>#N/A</v>
      </c>
      <c r="BR67" s="706" t="e">
        <f>IF(HLOOKUP($AL67&amp;"aa",[11]Feuil1!$A$27:$EP$48,18,FALSE)=FALSE,0,HLOOKUP($AL67&amp;"aa",[11]Feuil1!$A$27:$EP$48,18,FALSE))</f>
        <v>#N/A</v>
      </c>
      <c r="BS67" s="707" t="e">
        <f t="shared" si="29"/>
        <v>#N/A</v>
      </c>
      <c r="BT67" s="707" t="e">
        <f t="shared" si="30"/>
        <v>#N/A</v>
      </c>
      <c r="BU67" s="707">
        <f t="shared" si="31"/>
        <v>0</v>
      </c>
      <c r="BV67" s="561"/>
      <c r="BW67" s="561"/>
      <c r="BX67" s="814"/>
      <c r="BY67" s="814"/>
      <c r="BZ67" s="814"/>
      <c r="CA67" s="588"/>
      <c r="CB67" s="588"/>
      <c r="CC67" s="589"/>
      <c r="CD67" s="561"/>
      <c r="CE67" s="561"/>
      <c r="CF67" s="561"/>
      <c r="CG67" s="561"/>
      <c r="CH67" s="561"/>
      <c r="CI67" s="714"/>
      <c r="CK67" s="715">
        <f t="shared" si="36"/>
        <v>0</v>
      </c>
      <c r="CL67" s="591">
        <f t="shared" si="17"/>
        <v>0</v>
      </c>
      <c r="CM67" s="716" t="str">
        <f t="shared" si="47"/>
        <v/>
      </c>
      <c r="CN67" s="716" t="str">
        <f t="shared" si="47"/>
        <v/>
      </c>
      <c r="CO67" s="716" t="str">
        <f t="shared" si="47"/>
        <v/>
      </c>
      <c r="CP67" s="716" t="str">
        <f t="shared" si="47"/>
        <v/>
      </c>
      <c r="CQ67" s="716" t="str">
        <f t="shared" si="47"/>
        <v/>
      </c>
      <c r="CR67" s="716" t="str">
        <f t="shared" si="47"/>
        <v/>
      </c>
      <c r="CS67" s="716" t="str">
        <f t="shared" si="48"/>
        <v/>
      </c>
      <c r="CT67" s="716" t="str">
        <f t="shared" si="48"/>
        <v/>
      </c>
      <c r="CU67" s="716" t="str">
        <f t="shared" si="48"/>
        <v/>
      </c>
      <c r="CV67" s="717" t="str">
        <f t="shared" si="37"/>
        <v/>
      </c>
      <c r="CW67" s="718" t="str">
        <f>IF(E67=0,"",VLOOKUP(B67,[10]liste!AU:BD,10,FALSE))</f>
        <v/>
      </c>
      <c r="CX67" s="719">
        <f t="shared" si="19"/>
        <v>0</v>
      </c>
      <c r="CY67" s="720" t="str">
        <f t="shared" si="38"/>
        <v>NC</v>
      </c>
      <c r="CZ67" s="789"/>
      <c r="DA67" s="789"/>
      <c r="DB67" s="789"/>
      <c r="DC67" s="722" t="str">
        <f t="shared" si="20"/>
        <v/>
      </c>
      <c r="DE67" s="723" t="str">
        <f t="shared" si="21"/>
        <v/>
      </c>
      <c r="DF67" s="723" t="str">
        <f t="shared" si="22"/>
        <v/>
      </c>
      <c r="DG67" s="697" t="str">
        <f t="shared" si="23"/>
        <v/>
      </c>
      <c r="DH67" s="724" t="str">
        <f t="shared" si="24"/>
        <v/>
      </c>
      <c r="DI67" s="724" t="str">
        <f t="shared" si="39"/>
        <v/>
      </c>
      <c r="DJ67" s="719">
        <f t="shared" si="25"/>
        <v>0</v>
      </c>
      <c r="DK67" s="719">
        <f t="shared" si="26"/>
        <v>0</v>
      </c>
      <c r="DL67" s="719">
        <f t="shared" si="40"/>
        <v>0</v>
      </c>
      <c r="DM67" s="789"/>
      <c r="DN67" s="789"/>
      <c r="DO67" s="789"/>
      <c r="DP67" s="720" t="str">
        <f t="shared" si="41"/>
        <v>NC</v>
      </c>
      <c r="DQ67" s="591">
        <f>VLOOKUP(DG67,[10]résultats!$A$2:$DE$70,109,FALSE)</f>
        <v>0</v>
      </c>
      <c r="DR67" s="591">
        <f>VLOOKUP(DG67,[10]résultats!$A$2:$DG$70,111,FALSE)</f>
        <v>0</v>
      </c>
      <c r="DU67" s="591">
        <f t="shared" si="43"/>
        <v>0</v>
      </c>
    </row>
    <row r="68" spans="1:125" s="554" customFormat="1" ht="20.25">
      <c r="A68" s="800" t="str">
        <f t="shared" si="9"/>
        <v/>
      </c>
      <c r="B68" s="801" t="str">
        <f>IF(E68=0,"",VLOOKUP(E68,[10]liste!AM:AN,2,FALSE))</f>
        <v/>
      </c>
      <c r="C68" s="802" t="str">
        <f>IF(E68=0,"",VLOOKUP(B68,[10]liste!AN:AP,3,FALSE))</f>
        <v/>
      </c>
      <c r="D68" s="803" t="str">
        <f t="shared" si="10"/>
        <v/>
      </c>
      <c r="E68" s="804">
        <f>LARGE([10]liste!AM:AM,53)</f>
        <v>0</v>
      </c>
      <c r="G68" s="805"/>
      <c r="H68" s="805"/>
      <c r="I68" s="804"/>
      <c r="J68" s="805"/>
      <c r="K68" s="805"/>
      <c r="L68" s="805"/>
      <c r="M68" s="804"/>
      <c r="N68" s="806"/>
      <c r="O68" s="806"/>
      <c r="P68" s="695">
        <f t="shared" ca="1" si="11"/>
        <v>0</v>
      </c>
      <c r="Q68" s="807">
        <f t="shared" si="12"/>
        <v>0</v>
      </c>
      <c r="R68" s="808">
        <f>IF(B68="",0,VLOOKUP(B68,[10]résultats!AX:DH,63,FALSE))</f>
        <v>0</v>
      </c>
      <c r="S68" s="809" t="str">
        <f t="shared" si="13"/>
        <v/>
      </c>
      <c r="T68" s="807"/>
      <c r="U68" s="807"/>
      <c r="V68" s="810"/>
      <c r="W68" s="810"/>
      <c r="X68" s="810"/>
      <c r="Y68" s="811">
        <f t="shared" si="15"/>
        <v>0</v>
      </c>
      <c r="Z68" s="817"/>
      <c r="AA68" s="818" t="s">
        <v>619</v>
      </c>
      <c r="AB68" s="819">
        <v>2</v>
      </c>
      <c r="AC68" s="820" t="s">
        <v>620</v>
      </c>
      <c r="AD68" s="821"/>
      <c r="AE68" s="821"/>
      <c r="AF68" s="821"/>
      <c r="AG68" s="820"/>
      <c r="AH68" s="820"/>
      <c r="AI68" s="820"/>
      <c r="AJ68" s="799"/>
      <c r="AK68" s="799"/>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c r="BI68" s="582"/>
      <c r="BJ68" s="582"/>
      <c r="BK68" s="582"/>
      <c r="BL68" s="582"/>
      <c r="BM68" s="582"/>
      <c r="BN68" s="582"/>
      <c r="BO68" s="582"/>
      <c r="BP68" s="582"/>
      <c r="BQ68" s="582"/>
      <c r="BR68" s="582"/>
      <c r="BS68" s="677"/>
      <c r="BT68" s="561"/>
      <c r="BU68" s="561"/>
      <c r="BV68" s="561"/>
      <c r="BW68" s="561"/>
      <c r="BX68" s="814"/>
      <c r="BY68" s="814"/>
      <c r="BZ68" s="814"/>
      <c r="CA68" s="588"/>
      <c r="CB68" s="588"/>
      <c r="CC68" s="589"/>
      <c r="CD68" s="561"/>
      <c r="CE68" s="561"/>
      <c r="CF68" s="561"/>
      <c r="CG68" s="561"/>
      <c r="CH68" s="561"/>
      <c r="CI68" s="714"/>
      <c r="CK68" s="715">
        <f t="shared" si="36"/>
        <v>0</v>
      </c>
      <c r="CL68" s="591">
        <f t="shared" si="17"/>
        <v>0</v>
      </c>
      <c r="CM68" s="716" t="str">
        <f t="shared" si="47"/>
        <v/>
      </c>
      <c r="CN68" s="716" t="str">
        <f t="shared" si="47"/>
        <v/>
      </c>
      <c r="CO68" s="716" t="str">
        <f t="shared" si="47"/>
        <v/>
      </c>
      <c r="CP68" s="716" t="str">
        <f t="shared" si="47"/>
        <v/>
      </c>
      <c r="CQ68" s="716" t="str">
        <f t="shared" si="47"/>
        <v/>
      </c>
      <c r="CR68" s="716" t="str">
        <f t="shared" si="47"/>
        <v/>
      </c>
      <c r="CS68" s="716" t="str">
        <f t="shared" si="48"/>
        <v/>
      </c>
      <c r="CT68" s="716" t="str">
        <f t="shared" si="48"/>
        <v/>
      </c>
      <c r="CU68" s="716" t="str">
        <f t="shared" si="48"/>
        <v/>
      </c>
      <c r="CV68" s="717" t="str">
        <f t="shared" si="37"/>
        <v/>
      </c>
      <c r="CW68" s="718" t="str">
        <f>IF(E68=0,"",VLOOKUP(B68,[10]liste!AU:BD,10,FALSE))</f>
        <v/>
      </c>
      <c r="CX68" s="719">
        <f t="shared" si="19"/>
        <v>0</v>
      </c>
      <c r="CY68" s="720" t="str">
        <f t="shared" si="38"/>
        <v>NC</v>
      </c>
      <c r="CZ68" s="789"/>
      <c r="DA68" s="789"/>
      <c r="DB68" s="789"/>
      <c r="DC68" s="722" t="str">
        <f t="shared" si="20"/>
        <v/>
      </c>
      <c r="DE68" s="723" t="str">
        <f t="shared" si="21"/>
        <v/>
      </c>
      <c r="DF68" s="723" t="str">
        <f t="shared" si="22"/>
        <v/>
      </c>
      <c r="DG68" s="697" t="str">
        <f t="shared" si="23"/>
        <v/>
      </c>
      <c r="DH68" s="724" t="str">
        <f t="shared" si="24"/>
        <v/>
      </c>
      <c r="DI68" s="724" t="str">
        <f t="shared" si="39"/>
        <v/>
      </c>
      <c r="DJ68" s="719">
        <f t="shared" si="25"/>
        <v>0</v>
      </c>
      <c r="DK68" s="719">
        <f t="shared" si="26"/>
        <v>0</v>
      </c>
      <c r="DL68" s="719">
        <f t="shared" si="40"/>
        <v>0</v>
      </c>
      <c r="DM68" s="789"/>
      <c r="DN68" s="789"/>
      <c r="DO68" s="789"/>
      <c r="DP68" s="720" t="str">
        <f t="shared" si="41"/>
        <v>NC</v>
      </c>
      <c r="DQ68" s="591">
        <f>VLOOKUP(DG68,[10]résultats!$A$2:$DE$70,109,FALSE)</f>
        <v>0</v>
      </c>
      <c r="DR68" s="591">
        <f>VLOOKUP(DG68,[10]résultats!$A$2:$DG$70,111,FALSE)</f>
        <v>0</v>
      </c>
      <c r="DU68" s="591">
        <f t="shared" si="43"/>
        <v>0</v>
      </c>
    </row>
    <row r="69" spans="1:125" s="554" customFormat="1" ht="20.25">
      <c r="A69" s="800" t="str">
        <f t="shared" si="9"/>
        <v/>
      </c>
      <c r="B69" s="801" t="str">
        <f>IF(E69=0,"",VLOOKUP(E69,[10]liste!AM:AN,2,FALSE))</f>
        <v/>
      </c>
      <c r="C69" s="802" t="str">
        <f>IF(E69=0,"",VLOOKUP(B69,[10]liste!AN:AP,3,FALSE))</f>
        <v/>
      </c>
      <c r="D69" s="803" t="str">
        <f t="shared" si="10"/>
        <v/>
      </c>
      <c r="E69" s="804">
        <f>LARGE([10]liste!AM:AM,54)</f>
        <v>0</v>
      </c>
      <c r="G69" s="805"/>
      <c r="H69" s="805"/>
      <c r="I69" s="804"/>
      <c r="J69" s="805"/>
      <c r="K69" s="805"/>
      <c r="L69" s="805"/>
      <c r="M69" s="804"/>
      <c r="N69" s="806"/>
      <c r="O69" s="806"/>
      <c r="P69" s="695">
        <f t="shared" ca="1" si="11"/>
        <v>0</v>
      </c>
      <c r="Q69" s="807">
        <f t="shared" si="12"/>
        <v>0</v>
      </c>
      <c r="R69" s="808">
        <f>IF(B69="",0,VLOOKUP(B69,[10]résultats!AX:DH,63,FALSE))</f>
        <v>0</v>
      </c>
      <c r="S69" s="809" t="str">
        <f t="shared" si="13"/>
        <v/>
      </c>
      <c r="T69" s="807"/>
      <c r="U69" s="807"/>
      <c r="V69" s="810"/>
      <c r="W69" s="810"/>
      <c r="X69" s="810"/>
      <c r="Y69" s="811">
        <f t="shared" si="15"/>
        <v>0</v>
      </c>
      <c r="Z69" s="817"/>
      <c r="AA69" s="818" t="s">
        <v>621</v>
      </c>
      <c r="AB69" s="819">
        <v>2</v>
      </c>
      <c r="AC69" s="820" t="s">
        <v>622</v>
      </c>
      <c r="AD69" s="821"/>
      <c r="AE69" s="821"/>
      <c r="AF69" s="821"/>
      <c r="AG69" s="820"/>
      <c r="AH69" s="820"/>
      <c r="AI69" s="820"/>
      <c r="AJ69" s="799"/>
      <c r="AK69" s="799"/>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c r="BI69" s="582"/>
      <c r="BJ69" s="582"/>
      <c r="BK69" s="582"/>
      <c r="BL69" s="582"/>
      <c r="BM69" s="582"/>
      <c r="BN69" s="582"/>
      <c r="BO69" s="582"/>
      <c r="BP69" s="582"/>
      <c r="BQ69" s="582"/>
      <c r="BR69" s="582"/>
      <c r="BS69" s="582"/>
      <c r="BT69" s="561"/>
      <c r="BU69" s="561"/>
      <c r="BV69" s="561"/>
      <c r="BW69" s="561"/>
      <c r="BX69" s="814"/>
      <c r="BY69" s="814"/>
      <c r="BZ69" s="814"/>
      <c r="CA69" s="588"/>
      <c r="CB69" s="588"/>
      <c r="CC69" s="589"/>
      <c r="CD69" s="561"/>
      <c r="CE69" s="561"/>
      <c r="CF69" s="561"/>
      <c r="CG69" s="561"/>
      <c r="CH69" s="561"/>
      <c r="CI69" s="714"/>
      <c r="CK69" s="715">
        <f t="shared" si="36"/>
        <v>0</v>
      </c>
      <c r="CL69" s="591">
        <f t="shared" si="17"/>
        <v>0</v>
      </c>
      <c r="CM69" s="716" t="str">
        <f t="shared" si="47"/>
        <v/>
      </c>
      <c r="CN69" s="716" t="str">
        <f t="shared" si="47"/>
        <v/>
      </c>
      <c r="CO69" s="716" t="str">
        <f t="shared" si="47"/>
        <v/>
      </c>
      <c r="CP69" s="716" t="str">
        <f t="shared" si="47"/>
        <v/>
      </c>
      <c r="CQ69" s="716" t="str">
        <f t="shared" si="47"/>
        <v/>
      </c>
      <c r="CR69" s="716" t="str">
        <f t="shared" si="47"/>
        <v/>
      </c>
      <c r="CS69" s="716" t="str">
        <f t="shared" si="48"/>
        <v/>
      </c>
      <c r="CT69" s="716" t="str">
        <f t="shared" si="48"/>
        <v/>
      </c>
      <c r="CU69" s="716" t="str">
        <f t="shared" si="48"/>
        <v/>
      </c>
      <c r="CV69" s="717" t="str">
        <f t="shared" si="37"/>
        <v/>
      </c>
      <c r="CW69" s="718" t="str">
        <f>IF(E69=0,"",VLOOKUP(B69,[10]liste!AU:BD,10,FALSE))</f>
        <v/>
      </c>
      <c r="CX69" s="719">
        <f t="shared" si="19"/>
        <v>0</v>
      </c>
      <c r="CY69" s="720" t="str">
        <f t="shared" si="38"/>
        <v>NC</v>
      </c>
      <c r="CZ69" s="789"/>
      <c r="DA69" s="789"/>
      <c r="DB69" s="789"/>
      <c r="DC69" s="722" t="str">
        <f t="shared" si="20"/>
        <v/>
      </c>
      <c r="DE69" s="723" t="str">
        <f t="shared" si="21"/>
        <v/>
      </c>
      <c r="DF69" s="723" t="str">
        <f t="shared" si="22"/>
        <v/>
      </c>
      <c r="DG69" s="697" t="str">
        <f t="shared" si="23"/>
        <v/>
      </c>
      <c r="DH69" s="724" t="str">
        <f t="shared" si="24"/>
        <v/>
      </c>
      <c r="DI69" s="724" t="str">
        <f t="shared" si="39"/>
        <v/>
      </c>
      <c r="DJ69" s="719">
        <f t="shared" si="25"/>
        <v>0</v>
      </c>
      <c r="DK69" s="719">
        <f t="shared" si="26"/>
        <v>0</v>
      </c>
      <c r="DL69" s="719">
        <f t="shared" si="40"/>
        <v>0</v>
      </c>
      <c r="DM69" s="789"/>
      <c r="DN69" s="789"/>
      <c r="DO69" s="789"/>
      <c r="DP69" s="720" t="str">
        <f t="shared" si="41"/>
        <v>NC</v>
      </c>
      <c r="DQ69" s="591">
        <f>VLOOKUP(DG69,[10]résultats!$A$2:$DE$70,109,FALSE)</f>
        <v>0</v>
      </c>
      <c r="DR69" s="591">
        <f>VLOOKUP(DG69,[10]résultats!$A$2:$DG$70,111,FALSE)</f>
        <v>0</v>
      </c>
      <c r="DU69" s="591">
        <f t="shared" si="43"/>
        <v>0</v>
      </c>
    </row>
    <row r="70" spans="1:125" s="554" customFormat="1" ht="20.25">
      <c r="A70" s="800" t="str">
        <f t="shared" si="9"/>
        <v/>
      </c>
      <c r="B70" s="801" t="str">
        <f>IF(E70=0,"",VLOOKUP(E70,[10]liste!AM:AN,2,FALSE))</f>
        <v/>
      </c>
      <c r="C70" s="802" t="str">
        <f>IF(E70=0,"",VLOOKUP(B70,[10]liste!AN:AP,3,FALSE))</f>
        <v/>
      </c>
      <c r="D70" s="803" t="str">
        <f t="shared" si="10"/>
        <v/>
      </c>
      <c r="E70" s="804">
        <f>LARGE([10]liste!AM:AM,55)</f>
        <v>0</v>
      </c>
      <c r="G70" s="805"/>
      <c r="H70" s="805"/>
      <c r="I70" s="804"/>
      <c r="J70" s="805"/>
      <c r="K70" s="805"/>
      <c r="L70" s="805"/>
      <c r="M70" s="804"/>
      <c r="N70" s="806"/>
      <c r="O70" s="806"/>
      <c r="P70" s="695">
        <f t="shared" ca="1" si="11"/>
        <v>0</v>
      </c>
      <c r="Q70" s="807">
        <f t="shared" si="12"/>
        <v>0</v>
      </c>
      <c r="R70" s="808">
        <f>IF(B70="",0,VLOOKUP(B70,[10]résultats!AX:DH,63,FALSE))</f>
        <v>0</v>
      </c>
      <c r="S70" s="809" t="str">
        <f t="shared" si="13"/>
        <v/>
      </c>
      <c r="T70" s="807"/>
      <c r="U70" s="807"/>
      <c r="V70" s="810"/>
      <c r="W70" s="810"/>
      <c r="X70" s="810"/>
      <c r="Y70" s="811">
        <f t="shared" si="15"/>
        <v>0</v>
      </c>
      <c r="Z70" s="817"/>
      <c r="AA70" s="818" t="s">
        <v>623</v>
      </c>
      <c r="AB70" s="819">
        <v>2</v>
      </c>
      <c r="AC70" s="820" t="s">
        <v>620</v>
      </c>
      <c r="AD70" s="821"/>
      <c r="AE70" s="821"/>
      <c r="AF70" s="821"/>
      <c r="AG70" s="820"/>
      <c r="AH70" s="820"/>
      <c r="AI70" s="820"/>
      <c r="AJ70" s="799"/>
      <c r="AK70" s="799"/>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c r="BI70" s="582"/>
      <c r="BJ70" s="582"/>
      <c r="BK70" s="582"/>
      <c r="BL70" s="582"/>
      <c r="BM70" s="582"/>
      <c r="BN70" s="582"/>
      <c r="BO70" s="582"/>
      <c r="BP70" s="582"/>
      <c r="BQ70" s="582"/>
      <c r="BR70" s="582"/>
      <c r="BS70" s="582"/>
      <c r="BT70" s="561"/>
      <c r="BU70" s="561"/>
      <c r="BV70" s="561"/>
      <c r="BW70" s="561"/>
      <c r="BX70" s="814"/>
      <c r="BY70" s="814"/>
      <c r="BZ70" s="814"/>
      <c r="CA70" s="588"/>
      <c r="CB70" s="588"/>
      <c r="CC70" s="589"/>
      <c r="CD70" s="561"/>
      <c r="CE70" s="561"/>
      <c r="CF70" s="561"/>
      <c r="CG70" s="561"/>
      <c r="CH70" s="561"/>
      <c r="CI70" s="714"/>
      <c r="CK70" s="715">
        <f t="shared" si="36"/>
        <v>0</v>
      </c>
      <c r="CL70" s="591">
        <f t="shared" si="17"/>
        <v>0</v>
      </c>
      <c r="CM70" s="716" t="str">
        <f t="shared" si="47"/>
        <v/>
      </c>
      <c r="CN70" s="716" t="str">
        <f t="shared" si="47"/>
        <v/>
      </c>
      <c r="CO70" s="716" t="str">
        <f t="shared" si="47"/>
        <v/>
      </c>
      <c r="CP70" s="716" t="str">
        <f t="shared" si="47"/>
        <v/>
      </c>
      <c r="CQ70" s="716" t="str">
        <f t="shared" si="47"/>
        <v/>
      </c>
      <c r="CR70" s="716" t="str">
        <f t="shared" si="47"/>
        <v/>
      </c>
      <c r="CS70" s="716" t="str">
        <f t="shared" si="48"/>
        <v/>
      </c>
      <c r="CT70" s="716" t="str">
        <f t="shared" si="48"/>
        <v/>
      </c>
      <c r="CU70" s="716" t="str">
        <f t="shared" si="48"/>
        <v/>
      </c>
      <c r="CV70" s="717" t="str">
        <f t="shared" si="37"/>
        <v/>
      </c>
      <c r="CW70" s="718" t="str">
        <f>IF(E70=0,"",VLOOKUP(B70,[10]liste!AU:BD,10,FALSE))</f>
        <v/>
      </c>
      <c r="CX70" s="719">
        <f t="shared" si="19"/>
        <v>0</v>
      </c>
      <c r="CY70" s="720" t="str">
        <f t="shared" si="38"/>
        <v>NC</v>
      </c>
      <c r="CZ70" s="789"/>
      <c r="DA70" s="789"/>
      <c r="DB70" s="789"/>
      <c r="DC70" s="722" t="str">
        <f t="shared" si="20"/>
        <v/>
      </c>
      <c r="DE70" s="723" t="str">
        <f t="shared" si="21"/>
        <v/>
      </c>
      <c r="DF70" s="723" t="str">
        <f t="shared" si="22"/>
        <v/>
      </c>
      <c r="DG70" s="697" t="str">
        <f t="shared" si="23"/>
        <v/>
      </c>
      <c r="DH70" s="724" t="str">
        <f t="shared" si="24"/>
        <v/>
      </c>
      <c r="DI70" s="724" t="str">
        <f t="shared" si="39"/>
        <v/>
      </c>
      <c r="DJ70" s="719">
        <f t="shared" si="25"/>
        <v>0</v>
      </c>
      <c r="DK70" s="719">
        <f t="shared" si="26"/>
        <v>0</v>
      </c>
      <c r="DL70" s="719">
        <f t="shared" si="40"/>
        <v>0</v>
      </c>
      <c r="DM70" s="789"/>
      <c r="DN70" s="789"/>
      <c r="DO70" s="789"/>
      <c r="DP70" s="720" t="str">
        <f t="shared" si="41"/>
        <v>NC</v>
      </c>
      <c r="DQ70" s="591">
        <f>VLOOKUP(DG70,[10]résultats!$A$2:$DE$70,109,FALSE)</f>
        <v>0</v>
      </c>
      <c r="DR70" s="591">
        <f>VLOOKUP(DG70,[10]résultats!$A$2:$DG$70,111,FALSE)</f>
        <v>0</v>
      </c>
      <c r="DU70" s="591">
        <f t="shared" si="43"/>
        <v>0</v>
      </c>
    </row>
    <row r="71" spans="1:125" s="554" customFormat="1" ht="20.25">
      <c r="A71" s="800" t="str">
        <f t="shared" si="9"/>
        <v/>
      </c>
      <c r="B71" s="801" t="str">
        <f>IF(E71=0,"",VLOOKUP(E71,[10]liste!AM:AN,2,FALSE))</f>
        <v/>
      </c>
      <c r="C71" s="802" t="str">
        <f>IF(E71=0,"",VLOOKUP(B71,[10]liste!AN:AP,3,FALSE))</f>
        <v/>
      </c>
      <c r="D71" s="803" t="str">
        <f t="shared" si="10"/>
        <v/>
      </c>
      <c r="E71" s="804">
        <f>LARGE([10]liste!AM:AM,56)</f>
        <v>0</v>
      </c>
      <c r="G71" s="805"/>
      <c r="H71" s="805"/>
      <c r="I71" s="804"/>
      <c r="J71" s="805"/>
      <c r="K71" s="805"/>
      <c r="L71" s="805"/>
      <c r="M71" s="804"/>
      <c r="N71" s="806"/>
      <c r="O71" s="806"/>
      <c r="P71" s="695">
        <f t="shared" ca="1" si="11"/>
        <v>0</v>
      </c>
      <c r="Q71" s="807">
        <f t="shared" si="12"/>
        <v>0</v>
      </c>
      <c r="R71" s="808">
        <f>IF(B71="",0,VLOOKUP(B71,[10]résultats!AX:DH,63,FALSE))</f>
        <v>0</v>
      </c>
      <c r="S71" s="809" t="str">
        <f t="shared" si="13"/>
        <v/>
      </c>
      <c r="T71" s="807"/>
      <c r="U71" s="807"/>
      <c r="V71" s="810"/>
      <c r="W71" s="810"/>
      <c r="X71" s="810"/>
      <c r="Y71" s="811">
        <f t="shared" si="15"/>
        <v>0</v>
      </c>
      <c r="Z71" s="817"/>
      <c r="AA71" s="818" t="s">
        <v>624</v>
      </c>
      <c r="AB71" s="819">
        <v>2</v>
      </c>
      <c r="AC71" s="820" t="s">
        <v>622</v>
      </c>
      <c r="AD71" s="821"/>
      <c r="AE71" s="821"/>
      <c r="AF71" s="821"/>
      <c r="AG71" s="820"/>
      <c r="AH71" s="820"/>
      <c r="AI71" s="820"/>
      <c r="AJ71" s="799"/>
      <c r="AK71" s="799"/>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c r="BI71" s="582"/>
      <c r="BJ71" s="582"/>
      <c r="BK71" s="582"/>
      <c r="BL71" s="582"/>
      <c r="BM71" s="582"/>
      <c r="BN71" s="582"/>
      <c r="BO71" s="582"/>
      <c r="BP71" s="582"/>
      <c r="BQ71" s="582"/>
      <c r="BR71" s="582"/>
      <c r="BS71" s="582"/>
      <c r="BT71" s="561"/>
      <c r="BU71" s="561"/>
      <c r="BV71" s="561"/>
      <c r="BW71" s="561"/>
      <c r="BX71" s="814"/>
      <c r="BY71" s="814"/>
      <c r="BZ71" s="814"/>
      <c r="CA71" s="588"/>
      <c r="CB71" s="588"/>
      <c r="CC71" s="589"/>
      <c r="CD71" s="561"/>
      <c r="CE71" s="561"/>
      <c r="CF71" s="561"/>
      <c r="CG71" s="561"/>
      <c r="CH71" s="561"/>
      <c r="CI71" s="714"/>
      <c r="CK71" s="715">
        <f t="shared" si="36"/>
        <v>0</v>
      </c>
      <c r="CL71" s="591">
        <f t="shared" si="17"/>
        <v>0</v>
      </c>
      <c r="CM71" s="716" t="str">
        <f t="shared" si="47"/>
        <v/>
      </c>
      <c r="CN71" s="716" t="str">
        <f t="shared" si="47"/>
        <v/>
      </c>
      <c r="CO71" s="716" t="str">
        <f t="shared" si="47"/>
        <v/>
      </c>
      <c r="CP71" s="716" t="str">
        <f t="shared" si="47"/>
        <v/>
      </c>
      <c r="CQ71" s="716" t="str">
        <f t="shared" si="47"/>
        <v/>
      </c>
      <c r="CR71" s="716" t="str">
        <f t="shared" si="47"/>
        <v/>
      </c>
      <c r="CS71" s="716" t="str">
        <f t="shared" si="48"/>
        <v/>
      </c>
      <c r="CT71" s="716" t="str">
        <f t="shared" si="48"/>
        <v/>
      </c>
      <c r="CU71" s="716" t="str">
        <f t="shared" si="48"/>
        <v/>
      </c>
      <c r="CV71" s="717" t="str">
        <f t="shared" si="37"/>
        <v/>
      </c>
      <c r="CW71" s="718" t="str">
        <f>IF(E71=0,"",VLOOKUP(B71,[10]liste!AU:BD,10,FALSE))</f>
        <v/>
      </c>
      <c r="CX71" s="719">
        <f t="shared" si="19"/>
        <v>0</v>
      </c>
      <c r="CY71" s="720" t="str">
        <f t="shared" si="38"/>
        <v>NC</v>
      </c>
      <c r="CZ71" s="789"/>
      <c r="DA71" s="789"/>
      <c r="DB71" s="789"/>
      <c r="DC71" s="722" t="str">
        <f t="shared" si="20"/>
        <v/>
      </c>
      <c r="DE71" s="723" t="str">
        <f t="shared" si="21"/>
        <v/>
      </c>
      <c r="DF71" s="723" t="str">
        <f t="shared" si="22"/>
        <v/>
      </c>
      <c r="DG71" s="697" t="str">
        <f t="shared" si="23"/>
        <v/>
      </c>
      <c r="DH71" s="724" t="str">
        <f t="shared" si="24"/>
        <v/>
      </c>
      <c r="DI71" s="724" t="str">
        <f t="shared" si="39"/>
        <v/>
      </c>
      <c r="DJ71" s="719">
        <f t="shared" si="25"/>
        <v>0</v>
      </c>
      <c r="DK71" s="719">
        <f t="shared" si="26"/>
        <v>0</v>
      </c>
      <c r="DL71" s="719">
        <f t="shared" si="40"/>
        <v>0</v>
      </c>
      <c r="DM71" s="789"/>
      <c r="DN71" s="789"/>
      <c r="DO71" s="789"/>
      <c r="DP71" s="720" t="str">
        <f t="shared" si="41"/>
        <v>NC</v>
      </c>
      <c r="DQ71" s="591">
        <f>VLOOKUP(DG71,[10]résultats!$A$2:$DE$70,109,FALSE)</f>
        <v>0</v>
      </c>
      <c r="DR71" s="591">
        <f>VLOOKUP(DG71,[10]résultats!$A$2:$DG$70,111,FALSE)</f>
        <v>0</v>
      </c>
      <c r="DU71" s="591">
        <f t="shared" si="43"/>
        <v>0</v>
      </c>
    </row>
    <row r="72" spans="1:125" s="554" customFormat="1" ht="20.25">
      <c r="A72" s="800" t="str">
        <f t="shared" si="9"/>
        <v/>
      </c>
      <c r="B72" s="801" t="str">
        <f>IF(E72=0,"",VLOOKUP(E72,[10]liste!AM:AN,2,FALSE))</f>
        <v/>
      </c>
      <c r="C72" s="802" t="str">
        <f>IF(E72=0,"",VLOOKUP(B72,[10]liste!AN:AP,3,FALSE))</f>
        <v/>
      </c>
      <c r="D72" s="803" t="str">
        <f t="shared" si="10"/>
        <v/>
      </c>
      <c r="E72" s="804">
        <f>LARGE([10]liste!AM:AM,57)</f>
        <v>0</v>
      </c>
      <c r="G72" s="805"/>
      <c r="H72" s="805"/>
      <c r="I72" s="804"/>
      <c r="J72" s="805"/>
      <c r="K72" s="805"/>
      <c r="L72" s="805"/>
      <c r="M72" s="804"/>
      <c r="N72" s="806"/>
      <c r="O72" s="806"/>
      <c r="P72" s="695">
        <f t="shared" ca="1" si="11"/>
        <v>0</v>
      </c>
      <c r="Q72" s="807">
        <f t="shared" si="12"/>
        <v>0</v>
      </c>
      <c r="R72" s="808">
        <f>IF(B72="",0,VLOOKUP(B72,[10]résultats!AX:DH,63,FALSE))</f>
        <v>0</v>
      </c>
      <c r="S72" s="809" t="str">
        <f t="shared" si="13"/>
        <v/>
      </c>
      <c r="T72" s="807"/>
      <c r="U72" s="807"/>
      <c r="V72" s="810"/>
      <c r="W72" s="810"/>
      <c r="X72" s="810"/>
      <c r="Y72" s="811">
        <f t="shared" si="15"/>
        <v>0</v>
      </c>
      <c r="Z72" s="817"/>
      <c r="AA72" s="818" t="s">
        <v>625</v>
      </c>
      <c r="AB72" s="819">
        <v>3</v>
      </c>
      <c r="AC72" s="820" t="s">
        <v>620</v>
      </c>
      <c r="AD72" s="821"/>
      <c r="AE72" s="821"/>
      <c r="AF72" s="821"/>
      <c r="AG72" s="820"/>
      <c r="AH72" s="820"/>
      <c r="AI72" s="820"/>
      <c r="AJ72" s="799"/>
      <c r="AK72" s="799"/>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c r="BI72" s="582"/>
      <c r="BJ72" s="582"/>
      <c r="BK72" s="582"/>
      <c r="BL72" s="582"/>
      <c r="BM72" s="582"/>
      <c r="BN72" s="582"/>
      <c r="BO72" s="582"/>
      <c r="BP72" s="582"/>
      <c r="BQ72" s="582"/>
      <c r="BR72" s="582"/>
      <c r="BS72" s="582"/>
      <c r="BT72" s="561"/>
      <c r="BU72" s="561"/>
      <c r="BV72" s="561"/>
      <c r="BW72" s="561"/>
      <c r="BX72" s="814"/>
      <c r="BY72" s="814"/>
      <c r="BZ72" s="814"/>
      <c r="CA72" s="588"/>
      <c r="CB72" s="588"/>
      <c r="CC72" s="589"/>
      <c r="CD72" s="561"/>
      <c r="CE72" s="561"/>
      <c r="CF72" s="561"/>
      <c r="CG72" s="561"/>
      <c r="CH72" s="561"/>
      <c r="CI72" s="714"/>
      <c r="CK72" s="715">
        <f t="shared" si="36"/>
        <v>0</v>
      </c>
      <c r="CL72" s="591">
        <f t="shared" si="17"/>
        <v>0</v>
      </c>
      <c r="CM72" s="716" t="str">
        <f t="shared" si="47"/>
        <v/>
      </c>
      <c r="CN72" s="716" t="str">
        <f t="shared" si="47"/>
        <v/>
      </c>
      <c r="CO72" s="716" t="str">
        <f t="shared" si="47"/>
        <v/>
      </c>
      <c r="CP72" s="716" t="str">
        <f t="shared" si="47"/>
        <v/>
      </c>
      <c r="CQ72" s="716" t="str">
        <f t="shared" si="47"/>
        <v/>
      </c>
      <c r="CR72" s="716" t="str">
        <f t="shared" si="47"/>
        <v/>
      </c>
      <c r="CS72" s="716" t="str">
        <f t="shared" si="48"/>
        <v/>
      </c>
      <c r="CT72" s="716" t="str">
        <f t="shared" si="48"/>
        <v/>
      </c>
      <c r="CU72" s="716" t="str">
        <f t="shared" si="48"/>
        <v/>
      </c>
      <c r="CV72" s="717" t="str">
        <f t="shared" si="37"/>
        <v/>
      </c>
      <c r="CW72" s="718" t="str">
        <f>IF(E72=0,"",VLOOKUP(B72,[10]liste!AU:BD,10,FALSE))</f>
        <v/>
      </c>
      <c r="CX72" s="719">
        <f t="shared" si="19"/>
        <v>0</v>
      </c>
      <c r="CY72" s="720" t="str">
        <f t="shared" si="38"/>
        <v>NC</v>
      </c>
      <c r="CZ72" s="789"/>
      <c r="DA72" s="789"/>
      <c r="DB72" s="789"/>
      <c r="DC72" s="722" t="str">
        <f t="shared" si="20"/>
        <v/>
      </c>
      <c r="DE72" s="723" t="str">
        <f t="shared" si="21"/>
        <v/>
      </c>
      <c r="DF72" s="723" t="str">
        <f t="shared" si="22"/>
        <v/>
      </c>
      <c r="DG72" s="697" t="str">
        <f t="shared" si="23"/>
        <v/>
      </c>
      <c r="DH72" s="724" t="str">
        <f t="shared" si="24"/>
        <v/>
      </c>
      <c r="DI72" s="724" t="str">
        <f t="shared" si="39"/>
        <v/>
      </c>
      <c r="DJ72" s="719">
        <f t="shared" si="25"/>
        <v>0</v>
      </c>
      <c r="DK72" s="719">
        <f t="shared" si="26"/>
        <v>0</v>
      </c>
      <c r="DL72" s="719">
        <f t="shared" si="40"/>
        <v>0</v>
      </c>
      <c r="DM72" s="789"/>
      <c r="DN72" s="789"/>
      <c r="DO72" s="789"/>
      <c r="DP72" s="720" t="str">
        <f t="shared" si="41"/>
        <v>NC</v>
      </c>
      <c r="DQ72" s="591">
        <f>VLOOKUP(DG72,[10]résultats!$A$2:$DE$70,109,FALSE)</f>
        <v>0</v>
      </c>
      <c r="DR72" s="591">
        <f>VLOOKUP(DG72,[10]résultats!$A$2:$DG$70,111,FALSE)</f>
        <v>0</v>
      </c>
      <c r="DU72" s="591">
        <f t="shared" si="43"/>
        <v>0</v>
      </c>
    </row>
    <row r="73" spans="1:125" s="554" customFormat="1" ht="20.25">
      <c r="A73" s="800" t="str">
        <f t="shared" si="9"/>
        <v/>
      </c>
      <c r="B73" s="801" t="str">
        <f>IF(E73=0,"",VLOOKUP(E73,[10]liste!AM:AN,2,FALSE))</f>
        <v/>
      </c>
      <c r="C73" s="802" t="str">
        <f>IF(E73=0,"",VLOOKUP(B73,[10]liste!AN:AP,3,FALSE))</f>
        <v/>
      </c>
      <c r="D73" s="803" t="str">
        <f t="shared" si="10"/>
        <v/>
      </c>
      <c r="E73" s="804">
        <f>LARGE([10]liste!AM:AM,58)</f>
        <v>0</v>
      </c>
      <c r="G73" s="805"/>
      <c r="H73" s="805"/>
      <c r="I73" s="804"/>
      <c r="J73" s="805"/>
      <c r="K73" s="805"/>
      <c r="L73" s="805"/>
      <c r="M73" s="804"/>
      <c r="N73" s="806"/>
      <c r="O73" s="806"/>
      <c r="P73" s="695">
        <f t="shared" ca="1" si="11"/>
        <v>0</v>
      </c>
      <c r="Q73" s="807">
        <f t="shared" si="12"/>
        <v>0</v>
      </c>
      <c r="R73" s="808">
        <f>IF(B73="",0,VLOOKUP(B73,[10]résultats!AX:DH,63,FALSE))</f>
        <v>0</v>
      </c>
      <c r="S73" s="809" t="str">
        <f t="shared" si="13"/>
        <v/>
      </c>
      <c r="T73" s="807"/>
      <c r="U73" s="807"/>
      <c r="V73" s="810"/>
      <c r="W73" s="810"/>
      <c r="X73" s="810"/>
      <c r="Y73" s="811">
        <f t="shared" si="15"/>
        <v>0</v>
      </c>
      <c r="Z73" s="817"/>
      <c r="AA73" s="818" t="s">
        <v>626</v>
      </c>
      <c r="AB73" s="819">
        <v>2</v>
      </c>
      <c r="AC73" s="820" t="s">
        <v>620</v>
      </c>
      <c r="AD73" s="821"/>
      <c r="AE73" s="821"/>
      <c r="AF73" s="821"/>
      <c r="AG73" s="820"/>
      <c r="AH73" s="820"/>
      <c r="AI73" s="820"/>
      <c r="AJ73" s="799"/>
      <c r="AK73" s="799"/>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c r="BI73" s="582"/>
      <c r="BJ73" s="582"/>
      <c r="BK73" s="582"/>
      <c r="BL73" s="582"/>
      <c r="BM73" s="582"/>
      <c r="BN73" s="582"/>
      <c r="BO73" s="582"/>
      <c r="BP73" s="582"/>
      <c r="BQ73" s="582"/>
      <c r="BR73" s="582"/>
      <c r="BS73" s="582"/>
      <c r="BT73" s="561"/>
      <c r="BU73" s="561"/>
      <c r="BV73" s="561"/>
      <c r="BW73" s="561"/>
      <c r="BX73" s="814"/>
      <c r="BY73" s="814"/>
      <c r="BZ73" s="814"/>
      <c r="CA73" s="588"/>
      <c r="CB73" s="588"/>
      <c r="CC73" s="589"/>
      <c r="CD73" s="561"/>
      <c r="CE73" s="561"/>
      <c r="CF73" s="561"/>
      <c r="CG73" s="561"/>
      <c r="CH73" s="561"/>
      <c r="CI73" s="714"/>
      <c r="CK73" s="715">
        <f t="shared" si="36"/>
        <v>0</v>
      </c>
      <c r="CL73" s="591">
        <f t="shared" si="17"/>
        <v>0</v>
      </c>
      <c r="CM73" s="716" t="str">
        <f t="shared" si="47"/>
        <v/>
      </c>
      <c r="CN73" s="716" t="str">
        <f t="shared" si="47"/>
        <v/>
      </c>
      <c r="CO73" s="716" t="str">
        <f t="shared" si="47"/>
        <v/>
      </c>
      <c r="CP73" s="716" t="str">
        <f t="shared" si="47"/>
        <v/>
      </c>
      <c r="CQ73" s="716" t="str">
        <f t="shared" si="47"/>
        <v/>
      </c>
      <c r="CR73" s="716" t="str">
        <f t="shared" si="47"/>
        <v/>
      </c>
      <c r="CS73" s="716" t="str">
        <f t="shared" si="48"/>
        <v/>
      </c>
      <c r="CT73" s="716" t="str">
        <f t="shared" si="48"/>
        <v/>
      </c>
      <c r="CU73" s="716" t="str">
        <f t="shared" si="48"/>
        <v/>
      </c>
      <c r="CV73" s="717" t="str">
        <f t="shared" si="37"/>
        <v/>
      </c>
      <c r="CW73" s="718" t="str">
        <f>IF(E73=0,"",VLOOKUP(B73,[10]liste!AU:BD,10,FALSE))</f>
        <v/>
      </c>
      <c r="CX73" s="719">
        <f t="shared" si="19"/>
        <v>0</v>
      </c>
      <c r="CY73" s="720" t="str">
        <f t="shared" si="38"/>
        <v>NC</v>
      </c>
      <c r="CZ73" s="789"/>
      <c r="DA73" s="789"/>
      <c r="DB73" s="789"/>
      <c r="DC73" s="722" t="str">
        <f t="shared" si="20"/>
        <v/>
      </c>
      <c r="DE73" s="723" t="str">
        <f t="shared" si="21"/>
        <v/>
      </c>
      <c r="DF73" s="723" t="str">
        <f t="shared" si="22"/>
        <v/>
      </c>
      <c r="DG73" s="697" t="str">
        <f t="shared" si="23"/>
        <v/>
      </c>
      <c r="DH73" s="724" t="str">
        <f t="shared" si="24"/>
        <v/>
      </c>
      <c r="DI73" s="724" t="str">
        <f t="shared" si="39"/>
        <v/>
      </c>
      <c r="DJ73" s="719">
        <f t="shared" si="25"/>
        <v>0</v>
      </c>
      <c r="DK73" s="719">
        <f t="shared" si="26"/>
        <v>0</v>
      </c>
      <c r="DL73" s="719">
        <f t="shared" si="40"/>
        <v>0</v>
      </c>
      <c r="DM73" s="789"/>
      <c r="DN73" s="789"/>
      <c r="DO73" s="789"/>
      <c r="DP73" s="720" t="str">
        <f t="shared" si="41"/>
        <v>NC</v>
      </c>
      <c r="DQ73" s="591">
        <f>VLOOKUP(DG73,[10]résultats!$A$2:$DE$70,109,FALSE)</f>
        <v>0</v>
      </c>
      <c r="DR73" s="591">
        <f>VLOOKUP(DG73,[10]résultats!$A$2:$DG$70,111,FALSE)</f>
        <v>0</v>
      </c>
      <c r="DU73" s="591">
        <f t="shared" si="43"/>
        <v>0</v>
      </c>
    </row>
    <row r="74" spans="1:125" s="554" customFormat="1" ht="20.25">
      <c r="A74" s="800" t="str">
        <f t="shared" si="9"/>
        <v/>
      </c>
      <c r="B74" s="801" t="str">
        <f>IF(E74=0,"",VLOOKUP(E74,[10]liste!AM:AN,2,FALSE))</f>
        <v/>
      </c>
      <c r="C74" s="802" t="str">
        <f>IF(E74=0,"",VLOOKUP(B74,[10]liste!AN:AP,3,FALSE))</f>
        <v/>
      </c>
      <c r="D74" s="803" t="str">
        <f t="shared" si="10"/>
        <v/>
      </c>
      <c r="E74" s="804">
        <f>LARGE([10]liste!AM:AM,59)</f>
        <v>0</v>
      </c>
      <c r="G74" s="805"/>
      <c r="H74" s="805"/>
      <c r="I74" s="804"/>
      <c r="J74" s="805"/>
      <c r="K74" s="805"/>
      <c r="L74" s="805"/>
      <c r="M74" s="804"/>
      <c r="N74" s="806"/>
      <c r="O74" s="806"/>
      <c r="P74" s="695">
        <f t="shared" ca="1" si="11"/>
        <v>0</v>
      </c>
      <c r="Q74" s="807">
        <f t="shared" si="12"/>
        <v>0</v>
      </c>
      <c r="R74" s="808">
        <f>IF(B74="",0,VLOOKUP(B74,[10]résultats!AX:DH,63,FALSE))</f>
        <v>0</v>
      </c>
      <c r="S74" s="809" t="str">
        <f t="shared" si="13"/>
        <v/>
      </c>
      <c r="T74" s="807"/>
      <c r="U74" s="807"/>
      <c r="V74" s="810"/>
      <c r="W74" s="810"/>
      <c r="X74" s="810"/>
      <c r="Y74" s="811">
        <f t="shared" si="15"/>
        <v>0</v>
      </c>
      <c r="Z74" s="817"/>
      <c r="AA74" s="822" t="s">
        <v>627</v>
      </c>
      <c r="AB74" s="819">
        <v>2</v>
      </c>
      <c r="AC74" s="820" t="s">
        <v>628</v>
      </c>
      <c r="AD74" s="821"/>
      <c r="AE74" s="821"/>
      <c r="AF74" s="821"/>
      <c r="AG74" s="820"/>
      <c r="AH74" s="820"/>
      <c r="AI74" s="820"/>
      <c r="AJ74" s="799"/>
      <c r="AK74" s="799"/>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61"/>
      <c r="BU74" s="561"/>
      <c r="BV74" s="561"/>
      <c r="BW74" s="561"/>
      <c r="BX74" s="814"/>
      <c r="BY74" s="814"/>
      <c r="BZ74" s="814"/>
      <c r="CA74" s="588"/>
      <c r="CB74" s="588"/>
      <c r="CC74" s="589"/>
      <c r="CD74" s="561"/>
      <c r="CE74" s="561"/>
      <c r="CF74" s="561"/>
      <c r="CG74" s="561"/>
      <c r="CH74" s="561"/>
      <c r="CI74" s="714"/>
      <c r="CK74" s="715">
        <f t="shared" si="36"/>
        <v>0</v>
      </c>
      <c r="CL74" s="591">
        <f t="shared" si="17"/>
        <v>0</v>
      </c>
      <c r="CM74" s="716" t="str">
        <f t="shared" si="47"/>
        <v/>
      </c>
      <c r="CN74" s="716" t="str">
        <f t="shared" si="47"/>
        <v/>
      </c>
      <c r="CO74" s="716" t="str">
        <f t="shared" si="47"/>
        <v/>
      </c>
      <c r="CP74" s="716" t="str">
        <f t="shared" si="47"/>
        <v/>
      </c>
      <c r="CQ74" s="716" t="str">
        <f t="shared" si="47"/>
        <v/>
      </c>
      <c r="CR74" s="716" t="str">
        <f t="shared" si="47"/>
        <v/>
      </c>
      <c r="CS74" s="716" t="str">
        <f t="shared" si="48"/>
        <v/>
      </c>
      <c r="CT74" s="716" t="str">
        <f t="shared" si="48"/>
        <v/>
      </c>
      <c r="CU74" s="716" t="str">
        <f t="shared" si="48"/>
        <v/>
      </c>
      <c r="CV74" s="717" t="str">
        <f t="shared" si="37"/>
        <v/>
      </c>
      <c r="CW74" s="718" t="str">
        <f>IF(E74=0,"",VLOOKUP(B74,[10]liste!AU:BD,10,FALSE))</f>
        <v/>
      </c>
      <c r="CX74" s="719">
        <f t="shared" si="19"/>
        <v>0</v>
      </c>
      <c r="CY74" s="720" t="str">
        <f t="shared" si="38"/>
        <v>NC</v>
      </c>
      <c r="CZ74" s="789"/>
      <c r="DA74" s="789"/>
      <c r="DB74" s="789"/>
      <c r="DC74" s="722" t="str">
        <f t="shared" si="20"/>
        <v/>
      </c>
      <c r="DE74" s="723" t="str">
        <f t="shared" si="21"/>
        <v/>
      </c>
      <c r="DF74" s="723" t="str">
        <f t="shared" si="22"/>
        <v/>
      </c>
      <c r="DG74" s="697" t="str">
        <f t="shared" si="23"/>
        <v/>
      </c>
      <c r="DH74" s="724" t="str">
        <f t="shared" si="24"/>
        <v/>
      </c>
      <c r="DI74" s="724" t="str">
        <f t="shared" si="39"/>
        <v/>
      </c>
      <c r="DJ74" s="719">
        <f t="shared" si="25"/>
        <v>0</v>
      </c>
      <c r="DK74" s="719">
        <f t="shared" si="26"/>
        <v>0</v>
      </c>
      <c r="DL74" s="719">
        <f t="shared" si="40"/>
        <v>0</v>
      </c>
      <c r="DM74" s="789"/>
      <c r="DN74" s="789"/>
      <c r="DO74" s="789"/>
      <c r="DP74" s="720" t="str">
        <f t="shared" si="41"/>
        <v>NC</v>
      </c>
      <c r="DQ74" s="591">
        <f>VLOOKUP(DG74,[10]résultats!$A$2:$DE$70,109,FALSE)</f>
        <v>0</v>
      </c>
      <c r="DR74" s="591">
        <f>VLOOKUP(DG74,[10]résultats!$A$2:$DG$70,111,FALSE)</f>
        <v>0</v>
      </c>
      <c r="DU74" s="591">
        <f t="shared" si="43"/>
        <v>0</v>
      </c>
    </row>
    <row r="75" spans="1:125" s="554" customFormat="1" ht="20.25">
      <c r="A75" s="800" t="str">
        <f t="shared" si="9"/>
        <v/>
      </c>
      <c r="B75" s="801" t="str">
        <f>IF(E75=0,"",VLOOKUP(E75,[10]liste!AM:AN,2,FALSE))</f>
        <v/>
      </c>
      <c r="C75" s="802" t="str">
        <f>IF(E75=0,"",VLOOKUP(B75,[10]liste!AN:AP,3,FALSE))</f>
        <v/>
      </c>
      <c r="D75" s="803" t="str">
        <f t="shared" si="10"/>
        <v/>
      </c>
      <c r="E75" s="804">
        <f>LARGE([10]liste!AM:AM,60)</f>
        <v>0</v>
      </c>
      <c r="G75" s="805"/>
      <c r="H75" s="805"/>
      <c r="I75" s="804"/>
      <c r="J75" s="805"/>
      <c r="K75" s="805"/>
      <c r="L75" s="805"/>
      <c r="M75" s="804"/>
      <c r="N75" s="806"/>
      <c r="O75" s="806"/>
      <c r="P75" s="695">
        <f t="shared" ca="1" si="11"/>
        <v>0</v>
      </c>
      <c r="Q75" s="807">
        <f t="shared" si="12"/>
        <v>0</v>
      </c>
      <c r="R75" s="808">
        <f>IF(B75="",0,VLOOKUP(B75,[10]résultats!AX:DH,63,FALSE))</f>
        <v>0</v>
      </c>
      <c r="S75" s="809" t="str">
        <f t="shared" si="13"/>
        <v/>
      </c>
      <c r="T75" s="807"/>
      <c r="U75" s="807"/>
      <c r="V75" s="810"/>
      <c r="W75" s="810"/>
      <c r="X75" s="810"/>
      <c r="Y75" s="811">
        <f t="shared" si="15"/>
        <v>0</v>
      </c>
      <c r="Z75" s="817"/>
      <c r="AA75" s="818" t="s">
        <v>629</v>
      </c>
      <c r="AB75" s="819">
        <v>2</v>
      </c>
      <c r="AC75" s="820" t="s">
        <v>622</v>
      </c>
      <c r="AD75" s="821"/>
      <c r="AE75" s="821"/>
      <c r="AF75" s="821"/>
      <c r="AG75" s="820"/>
      <c r="AH75" s="820"/>
      <c r="AI75" s="820"/>
      <c r="AJ75" s="799"/>
      <c r="AK75" s="799"/>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c r="BI75" s="582"/>
      <c r="BJ75" s="582"/>
      <c r="BK75" s="582"/>
      <c r="BL75" s="582"/>
      <c r="BM75" s="582"/>
      <c r="BN75" s="582"/>
      <c r="BO75" s="582"/>
      <c r="BP75" s="582"/>
      <c r="BQ75" s="582"/>
      <c r="BR75" s="582"/>
      <c r="BS75" s="582"/>
      <c r="BT75" s="561"/>
      <c r="BU75" s="561"/>
      <c r="BV75" s="561"/>
      <c r="BW75" s="561"/>
      <c r="BX75" s="814"/>
      <c r="BY75" s="814"/>
      <c r="BZ75" s="814"/>
      <c r="CA75" s="588"/>
      <c r="CB75" s="588"/>
      <c r="CC75" s="589"/>
      <c r="CD75" s="561"/>
      <c r="CE75" s="561"/>
      <c r="CF75" s="561"/>
      <c r="CG75" s="561"/>
      <c r="CH75" s="561"/>
      <c r="CI75" s="714"/>
      <c r="CK75" s="715">
        <f t="shared" si="36"/>
        <v>0</v>
      </c>
      <c r="CL75" s="591">
        <f t="shared" si="17"/>
        <v>0</v>
      </c>
      <c r="CM75" s="716" t="str">
        <f t="shared" si="47"/>
        <v/>
      </c>
      <c r="CN75" s="716" t="str">
        <f t="shared" si="47"/>
        <v/>
      </c>
      <c r="CO75" s="716" t="str">
        <f t="shared" si="47"/>
        <v/>
      </c>
      <c r="CP75" s="716" t="str">
        <f t="shared" si="47"/>
        <v/>
      </c>
      <c r="CQ75" s="716" t="str">
        <f t="shared" si="47"/>
        <v/>
      </c>
      <c r="CR75" s="716" t="str">
        <f t="shared" si="47"/>
        <v/>
      </c>
      <c r="CS75" s="716" t="str">
        <f t="shared" si="48"/>
        <v/>
      </c>
      <c r="CT75" s="716" t="str">
        <f t="shared" si="48"/>
        <v/>
      </c>
      <c r="CU75" s="716" t="str">
        <f t="shared" si="48"/>
        <v/>
      </c>
      <c r="CV75" s="717" t="str">
        <f t="shared" si="37"/>
        <v/>
      </c>
      <c r="CW75" s="718" t="str">
        <f>IF(E75=0,"",VLOOKUP(B75,[10]liste!AU:BD,10,FALSE))</f>
        <v/>
      </c>
      <c r="CX75" s="719">
        <f t="shared" si="19"/>
        <v>0</v>
      </c>
      <c r="CY75" s="720" t="str">
        <f t="shared" si="38"/>
        <v>NC</v>
      </c>
      <c r="CZ75" s="789"/>
      <c r="DA75" s="789"/>
      <c r="DB75" s="789"/>
      <c r="DC75" s="722" t="str">
        <f t="shared" si="20"/>
        <v/>
      </c>
      <c r="DE75" s="723" t="str">
        <f t="shared" si="21"/>
        <v/>
      </c>
      <c r="DF75" s="723" t="str">
        <f t="shared" si="22"/>
        <v/>
      </c>
      <c r="DG75" s="697" t="str">
        <f t="shared" si="23"/>
        <v/>
      </c>
      <c r="DH75" s="724" t="str">
        <f t="shared" si="24"/>
        <v/>
      </c>
      <c r="DI75" s="724" t="str">
        <f t="shared" si="39"/>
        <v/>
      </c>
      <c r="DJ75" s="719">
        <f t="shared" si="25"/>
        <v>0</v>
      </c>
      <c r="DK75" s="719">
        <f t="shared" si="26"/>
        <v>0</v>
      </c>
      <c r="DL75" s="719">
        <f t="shared" si="40"/>
        <v>0</v>
      </c>
      <c r="DM75" s="789"/>
      <c r="DN75" s="789"/>
      <c r="DO75" s="789"/>
      <c r="DP75" s="720" t="str">
        <f t="shared" si="41"/>
        <v>NC</v>
      </c>
      <c r="DQ75" s="591">
        <f>VLOOKUP(DG75,[10]résultats!$A$2:$DE$70,109,FALSE)</f>
        <v>0</v>
      </c>
      <c r="DR75" s="591">
        <f>VLOOKUP(DG75,[10]résultats!$A$2:$DG$70,111,FALSE)</f>
        <v>0</v>
      </c>
      <c r="DU75" s="591">
        <f t="shared" si="43"/>
        <v>0</v>
      </c>
    </row>
    <row r="76" spans="1:125" s="554" customFormat="1" ht="20.25">
      <c r="A76" s="800" t="str">
        <f t="shared" si="9"/>
        <v/>
      </c>
      <c r="B76" s="801" t="str">
        <f>IF(E76=0,"",VLOOKUP(E76,[10]liste!AM:AN,2,FALSE))</f>
        <v/>
      </c>
      <c r="C76" s="802" t="str">
        <f>IF(E76=0,"",VLOOKUP(B76,[10]liste!AN:AP,3,FALSE))</f>
        <v/>
      </c>
      <c r="D76" s="803" t="str">
        <f t="shared" si="10"/>
        <v/>
      </c>
      <c r="E76" s="804">
        <f>LARGE([10]liste!AM:AM,61)</f>
        <v>0</v>
      </c>
      <c r="G76" s="805"/>
      <c r="H76" s="805"/>
      <c r="I76" s="804"/>
      <c r="J76" s="805"/>
      <c r="K76" s="805"/>
      <c r="L76" s="805"/>
      <c r="M76" s="804"/>
      <c r="N76" s="806"/>
      <c r="O76" s="806"/>
      <c r="P76" s="695">
        <f t="shared" ca="1" si="11"/>
        <v>0</v>
      </c>
      <c r="Q76" s="807">
        <f t="shared" si="12"/>
        <v>0</v>
      </c>
      <c r="R76" s="808">
        <f>IF(B76="",0,VLOOKUP(B76,[10]résultats!AX:DH,63,FALSE))</f>
        <v>0</v>
      </c>
      <c r="S76" s="809" t="str">
        <f t="shared" si="13"/>
        <v/>
      </c>
      <c r="T76" s="807"/>
      <c r="U76" s="807"/>
      <c r="V76" s="810"/>
      <c r="W76" s="810"/>
      <c r="X76" s="810"/>
      <c r="Y76" s="811">
        <f t="shared" si="15"/>
        <v>0</v>
      </c>
      <c r="Z76" s="817"/>
      <c r="AA76" s="818" t="s">
        <v>630</v>
      </c>
      <c r="AB76" s="819">
        <v>2</v>
      </c>
      <c r="AC76" s="820" t="s">
        <v>622</v>
      </c>
      <c r="AD76" s="823"/>
      <c r="AE76" s="821"/>
      <c r="AF76" s="821"/>
      <c r="AG76" s="820"/>
      <c r="AH76" s="820"/>
      <c r="AI76" s="820"/>
      <c r="AJ76" s="799"/>
      <c r="AK76" s="799"/>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c r="BI76" s="582"/>
      <c r="BJ76" s="582"/>
      <c r="BK76" s="582"/>
      <c r="BL76" s="582"/>
      <c r="BM76" s="582"/>
      <c r="BN76" s="582"/>
      <c r="BO76" s="582"/>
      <c r="BP76" s="582"/>
      <c r="BQ76" s="582"/>
      <c r="BR76" s="582"/>
      <c r="BS76" s="582"/>
      <c r="BT76" s="561"/>
      <c r="BU76" s="561"/>
      <c r="BV76" s="561"/>
      <c r="BW76" s="561"/>
      <c r="BX76" s="814"/>
      <c r="BY76" s="814"/>
      <c r="BZ76" s="814"/>
      <c r="CA76" s="588"/>
      <c r="CB76" s="588"/>
      <c r="CC76" s="589"/>
      <c r="CD76" s="561"/>
      <c r="CE76" s="561"/>
      <c r="CF76" s="561"/>
      <c r="CG76" s="561"/>
      <c r="CH76" s="561"/>
      <c r="CI76" s="714"/>
      <c r="CK76" s="715">
        <f t="shared" si="36"/>
        <v>0</v>
      </c>
      <c r="CL76" s="591">
        <f t="shared" si="17"/>
        <v>0</v>
      </c>
      <c r="CM76" s="716" t="str">
        <f t="shared" si="47"/>
        <v/>
      </c>
      <c r="CN76" s="716" t="str">
        <f t="shared" si="47"/>
        <v/>
      </c>
      <c r="CO76" s="716" t="str">
        <f t="shared" si="47"/>
        <v/>
      </c>
      <c r="CP76" s="716" t="str">
        <f t="shared" si="47"/>
        <v/>
      </c>
      <c r="CQ76" s="716" t="str">
        <f t="shared" si="47"/>
        <v/>
      </c>
      <c r="CR76" s="716" t="str">
        <f t="shared" si="47"/>
        <v/>
      </c>
      <c r="CS76" s="716" t="str">
        <f t="shared" si="48"/>
        <v/>
      </c>
      <c r="CT76" s="716" t="str">
        <f t="shared" si="48"/>
        <v/>
      </c>
      <c r="CU76" s="716" t="str">
        <f t="shared" si="48"/>
        <v/>
      </c>
      <c r="CV76" s="717" t="str">
        <f t="shared" si="37"/>
        <v/>
      </c>
      <c r="CW76" s="718" t="str">
        <f>IF(E76=0,"",VLOOKUP(B76,[10]liste!AU:BD,10,FALSE))</f>
        <v/>
      </c>
      <c r="CX76" s="719">
        <f t="shared" si="19"/>
        <v>0</v>
      </c>
      <c r="CY76" s="720" t="str">
        <f t="shared" si="38"/>
        <v>NC</v>
      </c>
      <c r="CZ76" s="789"/>
      <c r="DA76" s="789"/>
      <c r="DB76" s="789"/>
      <c r="DC76" s="722" t="str">
        <f t="shared" si="20"/>
        <v/>
      </c>
      <c r="DE76" s="723" t="str">
        <f t="shared" si="21"/>
        <v/>
      </c>
      <c r="DF76" s="723" t="str">
        <f t="shared" si="22"/>
        <v/>
      </c>
      <c r="DG76" s="697" t="str">
        <f t="shared" si="23"/>
        <v/>
      </c>
      <c r="DH76" s="724" t="str">
        <f t="shared" si="24"/>
        <v/>
      </c>
      <c r="DI76" s="724" t="str">
        <f t="shared" si="39"/>
        <v/>
      </c>
      <c r="DJ76" s="719">
        <f t="shared" si="25"/>
        <v>0</v>
      </c>
      <c r="DK76" s="719">
        <f t="shared" si="26"/>
        <v>0</v>
      </c>
      <c r="DL76" s="719">
        <f t="shared" si="40"/>
        <v>0</v>
      </c>
      <c r="DM76" s="789"/>
      <c r="DN76" s="789"/>
      <c r="DO76" s="789"/>
      <c r="DP76" s="720" t="str">
        <f t="shared" si="41"/>
        <v>NC</v>
      </c>
      <c r="DQ76" s="591">
        <f>VLOOKUP(DG76,[10]résultats!$A$2:$DE$70,109,FALSE)</f>
        <v>0</v>
      </c>
      <c r="DR76" s="591">
        <f>VLOOKUP(DG76,[10]résultats!$A$2:$DG$70,111,FALSE)</f>
        <v>0</v>
      </c>
      <c r="DU76" s="591">
        <f t="shared" si="43"/>
        <v>0</v>
      </c>
    </row>
    <row r="77" spans="1:125" s="554" customFormat="1" ht="20.25">
      <c r="A77" s="800" t="str">
        <f t="shared" si="9"/>
        <v/>
      </c>
      <c r="B77" s="801" t="str">
        <f>IF(E77=0,"",VLOOKUP(E77,[10]liste!AM:AN,2,FALSE))</f>
        <v/>
      </c>
      <c r="C77" s="802" t="str">
        <f>IF(E77=0,"",VLOOKUP(B77,[10]liste!AN:AP,3,FALSE))</f>
        <v/>
      </c>
      <c r="D77" s="803" t="str">
        <f t="shared" si="10"/>
        <v/>
      </c>
      <c r="E77" s="804">
        <f>LARGE([10]liste!AM:AM,62)</f>
        <v>0</v>
      </c>
      <c r="G77" s="805"/>
      <c r="H77" s="805"/>
      <c r="I77" s="804"/>
      <c r="J77" s="805"/>
      <c r="K77" s="805"/>
      <c r="L77" s="805"/>
      <c r="M77" s="804"/>
      <c r="N77" s="806"/>
      <c r="O77" s="806"/>
      <c r="P77" s="695">
        <f t="shared" ca="1" si="11"/>
        <v>0</v>
      </c>
      <c r="Q77" s="807">
        <f t="shared" si="12"/>
        <v>0</v>
      </c>
      <c r="R77" s="808">
        <f>IF(B77="",0,VLOOKUP(B77,[10]résultats!AX:DH,63,FALSE))</f>
        <v>0</v>
      </c>
      <c r="S77" s="809" t="str">
        <f t="shared" si="13"/>
        <v/>
      </c>
      <c r="T77" s="807"/>
      <c r="U77" s="807"/>
      <c r="V77" s="810"/>
      <c r="W77" s="810"/>
      <c r="X77" s="810"/>
      <c r="Y77" s="811">
        <f t="shared" si="15"/>
        <v>0</v>
      </c>
      <c r="Z77" s="817"/>
      <c r="AA77" s="818" t="s">
        <v>631</v>
      </c>
      <c r="AB77" s="819">
        <v>2</v>
      </c>
      <c r="AC77" s="820" t="s">
        <v>620</v>
      </c>
      <c r="AD77" s="821"/>
      <c r="AE77" s="821"/>
      <c r="AF77" s="821"/>
      <c r="AG77" s="820"/>
      <c r="AH77" s="820"/>
      <c r="AI77" s="820"/>
      <c r="AJ77" s="799"/>
      <c r="AK77" s="799"/>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c r="BI77" s="582"/>
      <c r="BJ77" s="582"/>
      <c r="BK77" s="582"/>
      <c r="BL77" s="582"/>
      <c r="BM77" s="582"/>
      <c r="BN77" s="582"/>
      <c r="BO77" s="582"/>
      <c r="BP77" s="582"/>
      <c r="BQ77" s="582"/>
      <c r="BR77" s="582"/>
      <c r="BS77" s="582"/>
      <c r="BT77" s="561"/>
      <c r="BU77" s="561"/>
      <c r="BV77" s="561"/>
      <c r="BW77" s="561"/>
      <c r="BX77" s="814"/>
      <c r="BY77" s="814"/>
      <c r="BZ77" s="814"/>
      <c r="CA77" s="588"/>
      <c r="CB77" s="588"/>
      <c r="CC77" s="589"/>
      <c r="CD77" s="561"/>
      <c r="CE77" s="561"/>
      <c r="CF77" s="561"/>
      <c r="CG77" s="561"/>
      <c r="CH77" s="561"/>
      <c r="CI77" s="714"/>
      <c r="CK77" s="715">
        <f t="shared" si="36"/>
        <v>0</v>
      </c>
      <c r="CL77" s="591">
        <f t="shared" si="17"/>
        <v>0</v>
      </c>
      <c r="CM77" s="716" t="str">
        <f t="shared" si="47"/>
        <v/>
      </c>
      <c r="CN77" s="716" t="str">
        <f t="shared" si="47"/>
        <v/>
      </c>
      <c r="CO77" s="716" t="str">
        <f t="shared" si="47"/>
        <v/>
      </c>
      <c r="CP77" s="716" t="str">
        <f t="shared" si="47"/>
        <v/>
      </c>
      <c r="CQ77" s="716" t="str">
        <f t="shared" si="47"/>
        <v/>
      </c>
      <c r="CR77" s="716" t="str">
        <f t="shared" si="47"/>
        <v/>
      </c>
      <c r="CS77" s="716" t="str">
        <f t="shared" si="48"/>
        <v/>
      </c>
      <c r="CT77" s="716" t="str">
        <f t="shared" si="48"/>
        <v/>
      </c>
      <c r="CU77" s="716" t="str">
        <f t="shared" si="48"/>
        <v/>
      </c>
      <c r="CV77" s="717" t="str">
        <f t="shared" si="37"/>
        <v/>
      </c>
      <c r="CW77" s="718" t="str">
        <f>IF(E77=0,"",VLOOKUP(B77,[10]liste!AU:BD,10,FALSE))</f>
        <v/>
      </c>
      <c r="CX77" s="719">
        <f t="shared" si="19"/>
        <v>0</v>
      </c>
      <c r="CY77" s="720" t="str">
        <f t="shared" si="38"/>
        <v>NC</v>
      </c>
      <c r="CZ77" s="789"/>
      <c r="DA77" s="789"/>
      <c r="DB77" s="789"/>
      <c r="DC77" s="722" t="str">
        <f t="shared" si="20"/>
        <v/>
      </c>
      <c r="DE77" s="723" t="str">
        <f t="shared" si="21"/>
        <v/>
      </c>
      <c r="DF77" s="723" t="str">
        <f t="shared" si="22"/>
        <v/>
      </c>
      <c r="DG77" s="697" t="str">
        <f t="shared" si="23"/>
        <v/>
      </c>
      <c r="DH77" s="724" t="str">
        <f t="shared" si="24"/>
        <v/>
      </c>
      <c r="DI77" s="724" t="str">
        <f t="shared" si="39"/>
        <v/>
      </c>
      <c r="DJ77" s="719">
        <f t="shared" si="25"/>
        <v>0</v>
      </c>
      <c r="DK77" s="719">
        <f t="shared" si="26"/>
        <v>0</v>
      </c>
      <c r="DL77" s="719">
        <f t="shared" si="40"/>
        <v>0</v>
      </c>
      <c r="DM77" s="789"/>
      <c r="DN77" s="789"/>
      <c r="DO77" s="789"/>
      <c r="DP77" s="720" t="str">
        <f t="shared" si="41"/>
        <v>NC</v>
      </c>
      <c r="DQ77" s="591">
        <f>VLOOKUP(DG77,[10]résultats!$A$2:$DE$70,109,FALSE)</f>
        <v>0</v>
      </c>
      <c r="DR77" s="591">
        <f>VLOOKUP(DG77,[10]résultats!$A$2:$DG$70,111,FALSE)</f>
        <v>0</v>
      </c>
      <c r="DU77" s="591">
        <f t="shared" si="43"/>
        <v>0</v>
      </c>
    </row>
    <row r="78" spans="1:125" s="554" customFormat="1" ht="20.25">
      <c r="A78" s="308" t="str">
        <f t="shared" si="9"/>
        <v/>
      </c>
      <c r="B78" s="297" t="str">
        <f>IF(E78=0,"",VLOOKUP(E78,[10]liste!AM:AN,2,FALSE))</f>
        <v/>
      </c>
      <c r="C78" s="298" t="str">
        <f>IF(E78=0,"",VLOOKUP(B78,[10]liste!AN:AP,3,FALSE))</f>
        <v/>
      </c>
      <c r="D78" s="691" t="str">
        <f t="shared" si="10"/>
        <v/>
      </c>
      <c r="E78" s="797">
        <f>LARGE([10]liste!AM:AM,63)</f>
        <v>0</v>
      </c>
      <c r="F78" s="693"/>
      <c r="G78" s="693"/>
      <c r="H78" s="693"/>
      <c r="I78" s="692"/>
      <c r="J78" s="693"/>
      <c r="K78" s="693"/>
      <c r="L78" s="693"/>
      <c r="M78" s="797"/>
      <c r="N78" s="694"/>
      <c r="O78" s="694"/>
      <c r="P78" s="695">
        <f t="shared" ca="1" si="11"/>
        <v>0</v>
      </c>
      <c r="Q78" s="170">
        <f t="shared" si="12"/>
        <v>0</v>
      </c>
      <c r="R78" s="824">
        <f>IF(B78="",0,VLOOKUP(B78,[10]résultats!AX:DH,63,FALSE))</f>
        <v>0</v>
      </c>
      <c r="S78" s="697" t="str">
        <f t="shared" si="13"/>
        <v/>
      </c>
      <c r="T78" s="171"/>
      <c r="U78" s="172"/>
      <c r="V78" s="292"/>
      <c r="W78" s="293"/>
      <c r="X78" s="725"/>
      <c r="Y78" s="811">
        <f t="shared" si="15"/>
        <v>0</v>
      </c>
      <c r="Z78" s="817"/>
      <c r="AA78" s="818" t="s">
        <v>632</v>
      </c>
      <c r="AB78" s="819">
        <v>2</v>
      </c>
      <c r="AC78" s="820" t="s">
        <v>620</v>
      </c>
      <c r="AD78" s="821"/>
      <c r="AE78" s="821"/>
      <c r="AF78" s="821"/>
      <c r="AG78" s="820"/>
      <c r="AH78" s="820"/>
      <c r="AI78" s="820"/>
      <c r="AJ78" s="799"/>
      <c r="AK78" s="799"/>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c r="BI78" s="582"/>
      <c r="BJ78" s="582"/>
      <c r="BK78" s="582"/>
      <c r="BL78" s="582"/>
      <c r="BM78" s="582"/>
      <c r="BN78" s="582"/>
      <c r="BO78" s="582"/>
      <c r="BP78" s="582"/>
      <c r="BQ78" s="582"/>
      <c r="BR78" s="582"/>
      <c r="BS78" s="582"/>
      <c r="BT78" s="561"/>
      <c r="BU78" s="561"/>
      <c r="BV78" s="561"/>
      <c r="BW78" s="561"/>
      <c r="BX78" s="814"/>
      <c r="BY78" s="814"/>
      <c r="BZ78" s="814"/>
      <c r="CA78" s="588"/>
      <c r="CB78" s="588"/>
      <c r="CC78" s="589"/>
      <c r="CD78" s="561"/>
      <c r="CE78" s="561"/>
      <c r="CF78" s="561"/>
      <c r="CG78" s="561"/>
      <c r="CH78" s="561"/>
      <c r="CI78" s="714"/>
      <c r="CK78" s="715">
        <f t="shared" si="36"/>
        <v>0</v>
      </c>
      <c r="CL78" s="591">
        <f t="shared" si="17"/>
        <v>0</v>
      </c>
      <c r="CM78" s="716" t="str">
        <f t="shared" si="47"/>
        <v/>
      </c>
      <c r="CN78" s="716" t="str">
        <f t="shared" si="47"/>
        <v/>
      </c>
      <c r="CO78" s="716" t="str">
        <f t="shared" si="47"/>
        <v/>
      </c>
      <c r="CP78" s="716" t="str">
        <f t="shared" si="47"/>
        <v/>
      </c>
      <c r="CQ78" s="716" t="str">
        <f t="shared" si="47"/>
        <v/>
      </c>
      <c r="CR78" s="716" t="str">
        <f t="shared" si="47"/>
        <v/>
      </c>
      <c r="CS78" s="716" t="str">
        <f t="shared" si="48"/>
        <v/>
      </c>
      <c r="CT78" s="716" t="str">
        <f t="shared" si="48"/>
        <v/>
      </c>
      <c r="CU78" s="716" t="str">
        <f t="shared" si="48"/>
        <v/>
      </c>
      <c r="CV78" s="717" t="str">
        <f t="shared" si="37"/>
        <v/>
      </c>
      <c r="CW78" s="718" t="str">
        <f>IF(E78=0,"",VLOOKUP(B78,[10]liste!AU:BD,10,FALSE))</f>
        <v/>
      </c>
      <c r="CX78" s="719">
        <f t="shared" si="19"/>
        <v>0</v>
      </c>
      <c r="CY78" s="720" t="str">
        <f t="shared" si="38"/>
        <v>NC</v>
      </c>
      <c r="CZ78" s="789"/>
      <c r="DA78" s="789"/>
      <c r="DB78" s="789"/>
      <c r="DC78" s="722" t="str">
        <f t="shared" si="20"/>
        <v/>
      </c>
      <c r="DE78" s="723" t="str">
        <f t="shared" si="21"/>
        <v/>
      </c>
      <c r="DF78" s="723" t="str">
        <f t="shared" si="22"/>
        <v/>
      </c>
      <c r="DG78" s="697" t="str">
        <f t="shared" si="23"/>
        <v/>
      </c>
      <c r="DH78" s="724" t="str">
        <f t="shared" si="24"/>
        <v/>
      </c>
      <c r="DI78" s="724" t="str">
        <f t="shared" si="39"/>
        <v/>
      </c>
      <c r="DJ78" s="719">
        <f t="shared" si="25"/>
        <v>0</v>
      </c>
      <c r="DK78" s="719">
        <f t="shared" si="26"/>
        <v>0</v>
      </c>
      <c r="DL78" s="719">
        <f t="shared" si="40"/>
        <v>0</v>
      </c>
      <c r="DM78" s="789"/>
      <c r="DN78" s="789"/>
      <c r="DO78" s="789"/>
      <c r="DP78" s="720" t="str">
        <f t="shared" si="41"/>
        <v>NC</v>
      </c>
      <c r="DQ78" s="591">
        <f>VLOOKUP(DG78,[10]résultats!$A$2:$DE$70,109,FALSE)</f>
        <v>0</v>
      </c>
      <c r="DR78" s="591">
        <f>VLOOKUP(DG78,[10]résultats!$A$2:$DG$70,111,FALSE)</f>
        <v>0</v>
      </c>
      <c r="DU78" s="591">
        <f t="shared" si="43"/>
        <v>0</v>
      </c>
    </row>
    <row r="79" spans="1:125" s="554" customFormat="1" ht="20.25">
      <c r="A79" s="308" t="str">
        <f t="shared" si="9"/>
        <v/>
      </c>
      <c r="B79" s="297" t="str">
        <f>IF(E79=0,"",VLOOKUP(E79,[10]liste!AM:AN,2,FALSE))</f>
        <v/>
      </c>
      <c r="C79" s="298" t="str">
        <f>IF(E79=0,"",VLOOKUP(B79,[10]liste!AN:AP,3,FALSE))</f>
        <v/>
      </c>
      <c r="D79" s="691" t="str">
        <f t="shared" si="10"/>
        <v/>
      </c>
      <c r="E79" s="797">
        <f>LARGE([10]liste!AM:AM,64)</f>
        <v>0</v>
      </c>
      <c r="F79" s="693"/>
      <c r="G79" s="693"/>
      <c r="H79" s="693"/>
      <c r="I79" s="692"/>
      <c r="J79" s="693"/>
      <c r="K79" s="693"/>
      <c r="L79" s="693"/>
      <c r="M79" s="797"/>
      <c r="N79" s="694"/>
      <c r="O79" s="694"/>
      <c r="P79" s="695">
        <f t="shared" ca="1" si="11"/>
        <v>0</v>
      </c>
      <c r="Q79" s="170">
        <f t="shared" si="12"/>
        <v>0</v>
      </c>
      <c r="R79" s="824">
        <f>IF(B79="",0,VLOOKUP(B79,[10]résultats!AX:DH,63,FALSE))</f>
        <v>0</v>
      </c>
      <c r="S79" s="697" t="str">
        <f t="shared" si="13"/>
        <v/>
      </c>
      <c r="T79" s="171"/>
      <c r="U79" s="172"/>
      <c r="V79" s="292"/>
      <c r="W79" s="293"/>
      <c r="X79" s="725"/>
      <c r="Y79" s="811">
        <f t="shared" si="15"/>
        <v>0</v>
      </c>
      <c r="Z79" s="817"/>
      <c r="AA79" s="818" t="s">
        <v>633</v>
      </c>
      <c r="AB79" s="819">
        <v>2</v>
      </c>
      <c r="AC79" s="820" t="s">
        <v>622</v>
      </c>
      <c r="AD79" s="821"/>
      <c r="AE79" s="821"/>
      <c r="AF79" s="821"/>
      <c r="AG79" s="820"/>
      <c r="AH79" s="820"/>
      <c r="AI79" s="820"/>
      <c r="AJ79" s="799"/>
      <c r="AK79" s="799"/>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c r="BI79" s="582"/>
      <c r="BJ79" s="582"/>
      <c r="BK79" s="582"/>
      <c r="BL79" s="582"/>
      <c r="BM79" s="582"/>
      <c r="BN79" s="582"/>
      <c r="BO79" s="582"/>
      <c r="BP79" s="582"/>
      <c r="BQ79" s="582"/>
      <c r="BR79" s="582"/>
      <c r="BS79" s="582"/>
      <c r="BT79" s="561"/>
      <c r="BU79" s="561"/>
      <c r="BV79" s="561"/>
      <c r="BW79" s="561"/>
      <c r="BX79" s="814"/>
      <c r="BY79" s="814"/>
      <c r="BZ79" s="814"/>
      <c r="CA79" s="588"/>
      <c r="CB79" s="588"/>
      <c r="CC79" s="589"/>
      <c r="CD79" s="561"/>
      <c r="CE79" s="561"/>
      <c r="CF79" s="561"/>
      <c r="CG79" s="561"/>
      <c r="CH79" s="561"/>
      <c r="CI79" s="714"/>
      <c r="CK79" s="715">
        <f t="shared" si="36"/>
        <v>0</v>
      </c>
      <c r="CL79" s="591">
        <f t="shared" si="17"/>
        <v>0</v>
      </c>
      <c r="CM79" s="716" t="str">
        <f t="shared" si="47"/>
        <v/>
      </c>
      <c r="CN79" s="716" t="str">
        <f t="shared" si="47"/>
        <v/>
      </c>
      <c r="CO79" s="716" t="str">
        <f t="shared" si="47"/>
        <v/>
      </c>
      <c r="CP79" s="716" t="str">
        <f t="shared" si="47"/>
        <v/>
      </c>
      <c r="CQ79" s="716" t="str">
        <f t="shared" si="47"/>
        <v/>
      </c>
      <c r="CR79" s="716" t="str">
        <f t="shared" si="47"/>
        <v/>
      </c>
      <c r="CS79" s="716" t="str">
        <f t="shared" si="48"/>
        <v/>
      </c>
      <c r="CT79" s="716" t="str">
        <f t="shared" si="48"/>
        <v/>
      </c>
      <c r="CU79" s="716" t="str">
        <f t="shared" si="48"/>
        <v/>
      </c>
      <c r="CV79" s="717" t="str">
        <f t="shared" si="37"/>
        <v/>
      </c>
      <c r="CW79" s="718" t="str">
        <f>IF(E79=0,"",VLOOKUP(B79,[10]liste!AU:BD,10,FALSE))</f>
        <v/>
      </c>
      <c r="CX79" s="719">
        <f t="shared" si="19"/>
        <v>0</v>
      </c>
      <c r="CY79" s="720" t="str">
        <f t="shared" si="38"/>
        <v>NC</v>
      </c>
      <c r="CZ79" s="789"/>
      <c r="DA79" s="789"/>
      <c r="DB79" s="789"/>
      <c r="DC79" s="722" t="str">
        <f t="shared" si="20"/>
        <v/>
      </c>
      <c r="DE79" s="723" t="str">
        <f t="shared" si="21"/>
        <v/>
      </c>
      <c r="DF79" s="723" t="str">
        <f t="shared" si="22"/>
        <v/>
      </c>
      <c r="DG79" s="697" t="str">
        <f t="shared" si="23"/>
        <v/>
      </c>
      <c r="DH79" s="724" t="str">
        <f t="shared" si="24"/>
        <v/>
      </c>
      <c r="DI79" s="724" t="str">
        <f t="shared" si="39"/>
        <v/>
      </c>
      <c r="DJ79" s="719">
        <f t="shared" si="25"/>
        <v>0</v>
      </c>
      <c r="DK79" s="719">
        <f t="shared" si="26"/>
        <v>0</v>
      </c>
      <c r="DL79" s="719">
        <f t="shared" si="40"/>
        <v>0</v>
      </c>
      <c r="DM79" s="789"/>
      <c r="DN79" s="789"/>
      <c r="DO79" s="789"/>
      <c r="DP79" s="720" t="str">
        <f t="shared" si="41"/>
        <v>NC</v>
      </c>
      <c r="DQ79" s="591">
        <f>VLOOKUP(DG79,[10]résultats!$A$2:$DE$70,109,FALSE)</f>
        <v>0</v>
      </c>
      <c r="DR79" s="591">
        <f>VLOOKUP(DG79,[10]résultats!$A$2:$DG$70,111,FALSE)</f>
        <v>0</v>
      </c>
      <c r="DU79" s="591">
        <f t="shared" si="43"/>
        <v>0</v>
      </c>
    </row>
    <row r="80" spans="1:125" s="554" customFormat="1" ht="20.25">
      <c r="A80" s="308" t="str">
        <f>IF(B80="","",RANK(CX80,CX:CX))</f>
        <v/>
      </c>
      <c r="B80" s="297" t="str">
        <f>IF(E80=0,"",VLOOKUP(E80,[10]liste!AM:AN,2,FALSE))</f>
        <v/>
      </c>
      <c r="C80" s="298" t="str">
        <f>IF(E80=0,"",VLOOKUP(B80,[10]liste!AN:AP,3,FALSE))</f>
        <v/>
      </c>
      <c r="D80" s="691" t="str">
        <f t="shared" ref="D80:D82" si="49">IF(CW80="","",CY80)</f>
        <v/>
      </c>
      <c r="E80" s="797">
        <f>LARGE([10]liste!AM:AM,65)</f>
        <v>0</v>
      </c>
      <c r="F80" s="693"/>
      <c r="G80" s="693"/>
      <c r="H80" s="693"/>
      <c r="I80" s="692"/>
      <c r="J80" s="693"/>
      <c r="K80" s="693"/>
      <c r="L80" s="693"/>
      <c r="M80" s="797"/>
      <c r="N80" s="694"/>
      <c r="O80" s="694"/>
      <c r="P80" s="695">
        <f t="shared" ref="P80:P84" ca="1" si="50">IF(F80="",0,IF(AND(CV80="faux",CU80=""),CT80,IF(CV80="faux",CU80,CV80+RAND()*(0.1-0.01)+0.01)))</f>
        <v>0</v>
      </c>
      <c r="Q80" s="170">
        <f t="shared" ref="Q80:Q82" si="51">SUM(CM80:CU80)</f>
        <v>0</v>
      </c>
      <c r="R80" s="824">
        <f>IF(B80="",0,VLOOKUP(B80,[10]résultats!AX:DH,63,FALSE))</f>
        <v>0</v>
      </c>
      <c r="S80" s="697" t="str">
        <f t="shared" ref="S80:S82" si="52">B80</f>
        <v/>
      </c>
      <c r="T80" s="171"/>
      <c r="U80" s="172"/>
      <c r="V80" s="292"/>
      <c r="W80" s="293"/>
      <c r="X80" s="725"/>
      <c r="Y80" s="811">
        <f t="shared" ref="Y80:Y81" si="53">MAX(E80:O80)</f>
        <v>0</v>
      </c>
      <c r="Z80" s="817"/>
      <c r="AA80" s="818" t="s">
        <v>634</v>
      </c>
      <c r="AB80" s="819">
        <v>2</v>
      </c>
      <c r="AC80" s="820" t="s">
        <v>622</v>
      </c>
      <c r="AD80" s="821"/>
      <c r="AE80" s="821"/>
      <c r="AF80" s="821"/>
      <c r="AG80" s="820"/>
      <c r="AH80" s="820"/>
      <c r="AI80" s="820"/>
      <c r="AJ80" s="799"/>
      <c r="AK80" s="799"/>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c r="BI80" s="582"/>
      <c r="BJ80" s="582"/>
      <c r="BK80" s="582"/>
      <c r="BL80" s="582"/>
      <c r="BM80" s="582"/>
      <c r="BN80" s="582"/>
      <c r="BO80" s="582"/>
      <c r="BP80" s="582"/>
      <c r="BQ80" s="582"/>
      <c r="BR80" s="582"/>
      <c r="BS80" s="582"/>
      <c r="BT80" s="561"/>
      <c r="BU80" s="561"/>
      <c r="BV80" s="561"/>
      <c r="BW80" s="561"/>
      <c r="BX80" s="814"/>
      <c r="BY80" s="814"/>
      <c r="BZ80" s="814"/>
      <c r="CA80" s="588"/>
      <c r="CB80" s="588"/>
      <c r="CC80" s="589"/>
      <c r="CD80" s="561"/>
      <c r="CE80" s="561"/>
      <c r="CF80" s="561"/>
      <c r="CG80" s="561"/>
      <c r="CH80" s="561"/>
      <c r="CI80" s="714"/>
      <c r="CK80" s="715">
        <f t="shared" si="36"/>
        <v>0</v>
      </c>
      <c r="CL80" s="591">
        <f t="shared" ref="CL80:CL82" si="54">IF(D80=C80,0,IF(D80&lt;C80,1,2))</f>
        <v>0</v>
      </c>
      <c r="CM80" s="716" t="str">
        <f t="shared" si="47"/>
        <v/>
      </c>
      <c r="CN80" s="716" t="str">
        <f t="shared" si="47"/>
        <v/>
      </c>
      <c r="CO80" s="716" t="str">
        <f t="shared" si="47"/>
        <v/>
      </c>
      <c r="CP80" s="716" t="str">
        <f t="shared" si="47"/>
        <v/>
      </c>
      <c r="CQ80" s="716" t="str">
        <f t="shared" si="47"/>
        <v/>
      </c>
      <c r="CR80" s="716" t="str">
        <f t="shared" si="47"/>
        <v/>
      </c>
      <c r="CS80" s="716" t="str">
        <f t="shared" si="48"/>
        <v/>
      </c>
      <c r="CT80" s="716" t="str">
        <f t="shared" si="48"/>
        <v/>
      </c>
      <c r="CU80" s="716" t="str">
        <f t="shared" si="48"/>
        <v/>
      </c>
      <c r="CV80" s="717" t="str">
        <f t="shared" si="37"/>
        <v/>
      </c>
      <c r="CW80" s="718" t="str">
        <f>IF(E80=0,"",VLOOKUP(B80,[10]liste!AU:BD,10,FALSE))</f>
        <v/>
      </c>
      <c r="CX80" s="719">
        <f t="shared" ref="CX80:CX82" si="55">IF(E80="","",E80+Q80)</f>
        <v>0</v>
      </c>
      <c r="CY80" s="720" t="str">
        <f t="shared" si="38"/>
        <v>NC</v>
      </c>
      <c r="CZ80" s="789"/>
      <c r="DA80" s="789"/>
      <c r="DB80" s="789"/>
      <c r="DC80" s="722" t="str">
        <f t="shared" ref="DC80:DC84" si="56">IF(CX80=0,"",IF(CX80=MAX(E80:P80),"x",""))</f>
        <v/>
      </c>
      <c r="DE80" s="723" t="str">
        <f t="shared" ref="DE80:DE84" si="57">IF(CW80=2,E80,"")</f>
        <v/>
      </c>
      <c r="DF80" s="723" t="str">
        <f t="shared" ref="DF80:DF84" si="58">IF(CW80=2,CX80,"")</f>
        <v/>
      </c>
      <c r="DG80" s="697" t="str">
        <f t="shared" ref="DG80:DG82" si="59">B80</f>
        <v/>
      </c>
      <c r="DH80" s="724" t="str">
        <f t="shared" ref="DH80:DH84" si="60">IF(E80=0,"",RANK(E80,E:E)-1-A80)</f>
        <v/>
      </c>
      <c r="DI80" s="724" t="str">
        <f t="shared" si="39"/>
        <v/>
      </c>
      <c r="DJ80" s="719">
        <f t="shared" ref="DJ80:DJ82" si="61">IF(E80="","",I80)</f>
        <v>0</v>
      </c>
      <c r="DK80" s="719">
        <f t="shared" ref="DK80:DK84" si="62">IF(DI80=2,"",E80)</f>
        <v>0</v>
      </c>
      <c r="DL80" s="719">
        <f t="shared" si="40"/>
        <v>0</v>
      </c>
      <c r="DM80" s="789"/>
      <c r="DN80" s="789"/>
      <c r="DO80" s="789"/>
      <c r="DP80" s="720" t="str">
        <f t="shared" si="41"/>
        <v>NC</v>
      </c>
      <c r="DQ80" s="591">
        <f>VLOOKUP(DG80,[10]résultats!$A$2:$DE$70,109,FALSE)</f>
        <v>0</v>
      </c>
      <c r="DR80" s="591">
        <f>VLOOKUP(DG80,[10]résultats!$A$2:$DG$70,111,FALSE)</f>
        <v>0</v>
      </c>
      <c r="DU80" s="591">
        <f t="shared" si="43"/>
        <v>0</v>
      </c>
    </row>
    <row r="81" spans="1:125" s="554" customFormat="1" ht="20.25">
      <c r="A81" s="308" t="str">
        <f>IF(B81="","",RANK(CX81,CX:CX))</f>
        <v/>
      </c>
      <c r="B81" s="297" t="str">
        <f>IF(E81=0,"",VLOOKUP(E81,[10]liste!AM:AN,2,FALSE))</f>
        <v/>
      </c>
      <c r="C81" s="298" t="str">
        <f>IF(E81=0,"",VLOOKUP(B81,[10]liste!AN:AP,3,FALSE))</f>
        <v/>
      </c>
      <c r="D81" s="691" t="str">
        <f t="shared" si="49"/>
        <v/>
      </c>
      <c r="E81" s="797">
        <f>LARGE([10]liste!AM:AM,66)</f>
        <v>0</v>
      </c>
      <c r="F81" s="693"/>
      <c r="G81" s="693"/>
      <c r="H81" s="693"/>
      <c r="I81" s="692"/>
      <c r="J81" s="693"/>
      <c r="K81" s="693"/>
      <c r="L81" s="693"/>
      <c r="M81" s="797"/>
      <c r="N81" s="694"/>
      <c r="O81" s="694"/>
      <c r="P81" s="695">
        <f t="shared" ca="1" si="50"/>
        <v>0</v>
      </c>
      <c r="Q81" s="170">
        <f t="shared" si="51"/>
        <v>0</v>
      </c>
      <c r="R81" s="824">
        <f>IF(B81="",0,VLOOKUP(B81,[10]résultats!AX:DH,63,FALSE))</f>
        <v>0</v>
      </c>
      <c r="S81" s="697" t="str">
        <f t="shared" si="52"/>
        <v/>
      </c>
      <c r="T81" s="171"/>
      <c r="U81" s="172"/>
      <c r="V81" s="292"/>
      <c r="W81" s="293"/>
      <c r="X81" s="725"/>
      <c r="Y81" s="811">
        <f t="shared" si="53"/>
        <v>0</v>
      </c>
      <c r="Z81" s="817"/>
      <c r="AA81" s="818" t="s">
        <v>635</v>
      </c>
      <c r="AB81" s="819">
        <v>3</v>
      </c>
      <c r="AC81" s="820" t="s">
        <v>628</v>
      </c>
      <c r="AD81" s="821"/>
      <c r="AE81" s="821"/>
      <c r="AF81" s="821"/>
      <c r="AG81" s="820"/>
      <c r="AH81" s="820"/>
      <c r="AI81" s="820"/>
      <c r="AJ81" s="799"/>
      <c r="AK81" s="799"/>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c r="BP81" s="582"/>
      <c r="BQ81" s="582"/>
      <c r="BR81" s="582"/>
      <c r="BS81" s="582"/>
      <c r="BT81" s="561"/>
      <c r="BU81" s="561"/>
      <c r="BV81" s="561"/>
      <c r="BW81" s="561"/>
      <c r="BX81" s="814"/>
      <c r="BY81" s="814"/>
      <c r="BZ81" s="814"/>
      <c r="CA81" s="588"/>
      <c r="CB81" s="588"/>
      <c r="CC81" s="589"/>
      <c r="CD81" s="561"/>
      <c r="CE81" s="561"/>
      <c r="CF81" s="561"/>
      <c r="CG81" s="561"/>
      <c r="CH81" s="561"/>
      <c r="CI81" s="714"/>
      <c r="CK81" s="715">
        <f>MAX(CM81:CU81)</f>
        <v>0</v>
      </c>
      <c r="CL81" s="591">
        <f t="shared" si="54"/>
        <v>0</v>
      </c>
      <c r="CM81" s="716" t="str">
        <f t="shared" si="47"/>
        <v/>
      </c>
      <c r="CN81" s="716" t="str">
        <f t="shared" si="47"/>
        <v/>
      </c>
      <c r="CO81" s="716" t="str">
        <f t="shared" si="47"/>
        <v/>
      </c>
      <c r="CP81" s="716" t="str">
        <f t="shared" si="47"/>
        <v/>
      </c>
      <c r="CQ81" s="716" t="str">
        <f t="shared" si="47"/>
        <v/>
      </c>
      <c r="CR81" s="716" t="str">
        <f t="shared" si="47"/>
        <v/>
      </c>
      <c r="CS81" s="716" t="str">
        <f t="shared" si="48"/>
        <v/>
      </c>
      <c r="CT81" s="716" t="str">
        <f t="shared" si="48"/>
        <v/>
      </c>
      <c r="CU81" s="716" t="str">
        <f t="shared" si="48"/>
        <v/>
      </c>
      <c r="CV81" s="717" t="str">
        <f>IF(CN81="",CM81,IF(CO81="",CN81,IF(CP81="",CO81,IF(CQ81="",CP81,IF(CR81="",CQ81,IF(CS81="",CR81,IF(CT81="",CS81,"faux")))))))</f>
        <v/>
      </c>
      <c r="CW81" s="718" t="str">
        <f>IF(E81=0,"",VLOOKUP(B81,[10]liste!AU:BD,10,FALSE))</f>
        <v/>
      </c>
      <c r="CX81" s="719">
        <f t="shared" si="55"/>
        <v>0</v>
      </c>
      <c r="CY81" s="720" t="str">
        <f>IF(CX81&lt;500,"NC",ROUNDDOWN(CX81/100,0))</f>
        <v>NC</v>
      </c>
      <c r="CZ81" s="789"/>
      <c r="DA81" s="789"/>
      <c r="DB81" s="789"/>
      <c r="DC81" s="722" t="str">
        <f t="shared" si="56"/>
        <v/>
      </c>
      <c r="DE81" s="723" t="str">
        <f t="shared" si="57"/>
        <v/>
      </c>
      <c r="DF81" s="723" t="str">
        <f t="shared" si="58"/>
        <v/>
      </c>
      <c r="DG81" s="697" t="str">
        <f t="shared" si="59"/>
        <v/>
      </c>
      <c r="DH81" s="724" t="str">
        <f t="shared" si="60"/>
        <v/>
      </c>
      <c r="DI81" s="724" t="str">
        <f>CW81</f>
        <v/>
      </c>
      <c r="DJ81" s="719">
        <f t="shared" si="61"/>
        <v>0</v>
      </c>
      <c r="DK81" s="719">
        <f t="shared" si="62"/>
        <v>0</v>
      </c>
      <c r="DL81" s="719">
        <f>IF(DI81=2,"",CX81)</f>
        <v>0</v>
      </c>
      <c r="DM81" s="789"/>
      <c r="DN81" s="789"/>
      <c r="DO81" s="789"/>
      <c r="DP81" s="720" t="str">
        <f>IF(DJ81&lt;500,"NC",ROUNDDOWN(DJ81/100,0))</f>
        <v>NC</v>
      </c>
      <c r="DQ81" s="591">
        <f>VLOOKUP(DG81,[10]résultats!$A$2:$DE$70,109,FALSE)</f>
        <v>0</v>
      </c>
      <c r="DR81" s="591">
        <f>VLOOKUP(DG81,[10]résultats!$A$2:$DG$70,111,FALSE)</f>
        <v>0</v>
      </c>
      <c r="DU81" s="591">
        <f>IF(M81="",0,RANK(M81,$M$16:$M$71))</f>
        <v>0</v>
      </c>
    </row>
    <row r="82" spans="1:125" s="554" customFormat="1" ht="20.25">
      <c r="A82" s="308" t="str">
        <f>IF(B82="","",RANK(CX82,CX:CX))</f>
        <v/>
      </c>
      <c r="B82" s="297" t="str">
        <f>IF(E82=0,"",VLOOKUP(E82,[10]liste!AM:AN,2,FALSE))</f>
        <v/>
      </c>
      <c r="C82" s="298" t="str">
        <f>IF(E82=0,"",VLOOKUP(B82,[10]liste!AN:AP,3,FALSE))</f>
        <v/>
      </c>
      <c r="D82" s="691" t="str">
        <f t="shared" si="49"/>
        <v/>
      </c>
      <c r="E82" s="797">
        <f>LARGE([10]liste!AM:AM,67)</f>
        <v>0</v>
      </c>
      <c r="F82" s="693"/>
      <c r="G82" s="693"/>
      <c r="H82" s="693"/>
      <c r="I82" s="692"/>
      <c r="J82" s="693"/>
      <c r="K82" s="693"/>
      <c r="L82" s="693"/>
      <c r="M82" s="797"/>
      <c r="N82" s="694"/>
      <c r="O82" s="694"/>
      <c r="P82" s="695">
        <f t="shared" ca="1" si="50"/>
        <v>0</v>
      </c>
      <c r="Q82" s="170">
        <f t="shared" si="51"/>
        <v>0</v>
      </c>
      <c r="R82" s="824">
        <f>IF(B82="",0,VLOOKUP(B82,[10]résultats!AX:DH,63,FALSE))</f>
        <v>0</v>
      </c>
      <c r="S82" s="697" t="str">
        <f t="shared" si="52"/>
        <v/>
      </c>
      <c r="T82" s="171"/>
      <c r="U82" s="172"/>
      <c r="V82" s="292"/>
      <c r="W82" s="293"/>
      <c r="X82" s="725"/>
      <c r="Y82" s="825"/>
      <c r="Z82" s="826"/>
      <c r="AA82" s="818" t="s">
        <v>636</v>
      </c>
      <c r="AB82" s="819">
        <v>2</v>
      </c>
      <c r="AC82" s="827" t="s">
        <v>628</v>
      </c>
      <c r="AD82" s="639"/>
      <c r="AE82" s="639"/>
      <c r="AF82" s="639"/>
      <c r="AG82" s="581"/>
      <c r="AH82" s="581"/>
      <c r="AI82" s="581"/>
      <c r="AJ82" s="799"/>
      <c r="AK82" s="799"/>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c r="BI82" s="582"/>
      <c r="BJ82" s="582"/>
      <c r="BK82" s="582"/>
      <c r="BL82" s="582"/>
      <c r="BM82" s="582"/>
      <c r="BN82" s="582"/>
      <c r="BO82" s="582"/>
      <c r="BP82" s="582"/>
      <c r="BQ82" s="582"/>
      <c r="BR82" s="582"/>
      <c r="BS82" s="582"/>
      <c r="BT82" s="561"/>
      <c r="BU82" s="561"/>
      <c r="BV82" s="561"/>
      <c r="BW82" s="561"/>
      <c r="BX82" s="814"/>
      <c r="BY82" s="814"/>
      <c r="BZ82" s="814"/>
      <c r="CA82" s="588"/>
      <c r="CB82" s="588"/>
      <c r="CC82" s="589"/>
      <c r="CD82" s="561"/>
      <c r="CE82" s="561"/>
      <c r="CF82" s="561"/>
      <c r="CG82" s="561"/>
      <c r="CH82" s="561"/>
      <c r="CI82" s="714"/>
      <c r="CK82" s="715">
        <f>MAX(CM82:CU82)</f>
        <v>0</v>
      </c>
      <c r="CL82" s="591">
        <f t="shared" si="54"/>
        <v>0</v>
      </c>
      <c r="CM82" s="716" t="str">
        <f t="shared" si="47"/>
        <v/>
      </c>
      <c r="CN82" s="716" t="str">
        <f t="shared" si="47"/>
        <v/>
      </c>
      <c r="CO82" s="716" t="str">
        <f t="shared" si="47"/>
        <v/>
      </c>
      <c r="CP82" s="716" t="str">
        <f t="shared" si="47"/>
        <v/>
      </c>
      <c r="CQ82" s="716" t="str">
        <f t="shared" si="47"/>
        <v/>
      </c>
      <c r="CR82" s="716" t="str">
        <f t="shared" si="47"/>
        <v/>
      </c>
      <c r="CS82" s="716" t="str">
        <f t="shared" si="48"/>
        <v/>
      </c>
      <c r="CT82" s="716" t="str">
        <f t="shared" si="48"/>
        <v/>
      </c>
      <c r="CU82" s="716" t="str">
        <f t="shared" si="48"/>
        <v/>
      </c>
      <c r="CV82" s="717" t="str">
        <f>IF(CN82="",CM82,IF(CO82="",CN82,IF(CP82="",CO82,IF(CQ82="",CP82,IF(CR82="",CQ82,IF(CS82="",CR82,IF(CT82="",CS82,"faux")))))))</f>
        <v/>
      </c>
      <c r="CW82" s="718" t="str">
        <f>IF(E82=0,"",VLOOKUP(B82,[10]liste!AU:BD,10,FALSE))</f>
        <v/>
      </c>
      <c r="CX82" s="719">
        <f t="shared" si="55"/>
        <v>0</v>
      </c>
      <c r="CY82" s="720" t="str">
        <f>IF(CX82&lt;500,"NC",ROUNDDOWN(CX82/100,0))</f>
        <v>NC</v>
      </c>
      <c r="CZ82" s="789"/>
      <c r="DA82" s="789"/>
      <c r="DB82" s="789"/>
      <c r="DC82" s="722" t="str">
        <f t="shared" si="56"/>
        <v/>
      </c>
      <c r="DE82" s="723" t="str">
        <f t="shared" si="57"/>
        <v/>
      </c>
      <c r="DF82" s="723" t="str">
        <f t="shared" si="58"/>
        <v/>
      </c>
      <c r="DG82" s="697" t="str">
        <f t="shared" si="59"/>
        <v/>
      </c>
      <c r="DH82" s="724" t="str">
        <f t="shared" si="60"/>
        <v/>
      </c>
      <c r="DI82" s="724" t="str">
        <f>CW82</f>
        <v/>
      </c>
      <c r="DJ82" s="719">
        <f t="shared" si="61"/>
        <v>0</v>
      </c>
      <c r="DK82" s="719">
        <f t="shared" si="62"/>
        <v>0</v>
      </c>
      <c r="DL82" s="719">
        <f>IF(DI82=2,"",CX82)</f>
        <v>0</v>
      </c>
      <c r="DM82" s="789"/>
      <c r="DN82" s="789"/>
      <c r="DO82" s="789"/>
      <c r="DP82" s="720" t="str">
        <f>IF(DJ82&lt;500,"NC",ROUNDDOWN(DJ82/100,0))</f>
        <v>NC</v>
      </c>
      <c r="DQ82" s="591">
        <f>VLOOKUP(DG82,[10]résultats!$A$2:$DE$70,109,FALSE)</f>
        <v>0</v>
      </c>
      <c r="DR82" s="591">
        <f>VLOOKUP(DG82,[10]résultats!$A$2:$DG$70,111,FALSE)</f>
        <v>0</v>
      </c>
      <c r="DU82" s="591">
        <f>IF(M82="",0,RANK(M82,$M$16:$M$71))</f>
        <v>0</v>
      </c>
    </row>
    <row r="83" spans="1:125" s="554" customFormat="1" ht="20.25">
      <c r="A83" s="308" t="str">
        <f>IF(B83="","",RANK(CX83,CX:CX))</f>
        <v/>
      </c>
      <c r="B83" s="297" t="str">
        <f>IF(E83=0,"",VLOOKUP(E83,[10]liste!AM:AN,2,FALSE))</f>
        <v/>
      </c>
      <c r="C83" s="298" t="str">
        <f>IF(E83=0,"",VLOOKUP(B83,[10]liste!AN:AP,3,FALSE))</f>
        <v/>
      </c>
      <c r="D83" s="691" t="str">
        <f>IF(CW83="","",CY83)</f>
        <v/>
      </c>
      <c r="E83" s="797">
        <f>LARGE([10]liste!AM:AM,68)</f>
        <v>0</v>
      </c>
      <c r="F83" s="693"/>
      <c r="G83" s="693"/>
      <c r="H83" s="693"/>
      <c r="I83" s="692"/>
      <c r="J83" s="693"/>
      <c r="K83" s="693"/>
      <c r="L83" s="693"/>
      <c r="M83" s="797"/>
      <c r="N83" s="694"/>
      <c r="O83" s="694"/>
      <c r="P83" s="695">
        <f t="shared" ca="1" si="50"/>
        <v>0</v>
      </c>
      <c r="Q83" s="170">
        <f>SUM(CM83:CU83)</f>
        <v>0</v>
      </c>
      <c r="R83" s="824">
        <f>IF(B83="",0,VLOOKUP(B83,[10]résultats!AX:DH,63,FALSE))</f>
        <v>0</v>
      </c>
      <c r="S83" s="697" t="str">
        <f>B83</f>
        <v/>
      </c>
      <c r="T83" s="171"/>
      <c r="U83" s="172"/>
      <c r="V83" s="292"/>
      <c r="W83" s="293"/>
      <c r="X83" s="725"/>
      <c r="Y83" s="825"/>
      <c r="Z83" s="826"/>
      <c r="AA83" s="818" t="s">
        <v>637</v>
      </c>
      <c r="AB83" s="819">
        <v>2</v>
      </c>
      <c r="AC83" s="827" t="s">
        <v>628</v>
      </c>
      <c r="AD83" s="639"/>
      <c r="AE83" s="639"/>
      <c r="AF83" s="639"/>
      <c r="AG83" s="581"/>
      <c r="AH83" s="581"/>
      <c r="AI83" s="581"/>
      <c r="AJ83" s="799"/>
      <c r="AK83" s="799"/>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c r="BI83" s="582"/>
      <c r="BJ83" s="582"/>
      <c r="BK83" s="582"/>
      <c r="BL83" s="582"/>
      <c r="BM83" s="582"/>
      <c r="BN83" s="582"/>
      <c r="BO83" s="582"/>
      <c r="BP83" s="582"/>
      <c r="BQ83" s="582"/>
      <c r="BR83" s="582"/>
      <c r="BS83" s="582"/>
      <c r="BT83" s="561"/>
      <c r="BU83" s="561"/>
      <c r="BV83" s="561"/>
      <c r="BW83" s="561"/>
      <c r="BX83" s="814"/>
      <c r="BY83" s="814"/>
      <c r="BZ83" s="814"/>
      <c r="CA83" s="588"/>
      <c r="CB83" s="588"/>
      <c r="CC83" s="589"/>
      <c r="CD83" s="561"/>
      <c r="CE83" s="561"/>
      <c r="CF83" s="561"/>
      <c r="CG83" s="561"/>
      <c r="CH83" s="561"/>
      <c r="CI83" s="714"/>
      <c r="CK83" s="715">
        <f>MAX(CM83:CU83)</f>
        <v>0</v>
      </c>
      <c r="CL83" s="591">
        <f>IF(D83=C83,0,IF(D83&lt;C83,1,2))</f>
        <v>0</v>
      </c>
      <c r="CM83" s="716" t="str">
        <f t="shared" ref="CM83:CU84" si="63">IF(F83="","",F83-E83)</f>
        <v/>
      </c>
      <c r="CN83" s="716" t="str">
        <f t="shared" si="63"/>
        <v/>
      </c>
      <c r="CO83" s="716" t="str">
        <f t="shared" si="63"/>
        <v/>
      </c>
      <c r="CP83" s="716" t="str">
        <f t="shared" si="63"/>
        <v/>
      </c>
      <c r="CQ83" s="716" t="str">
        <f t="shared" si="63"/>
        <v/>
      </c>
      <c r="CR83" s="716" t="str">
        <f t="shared" si="63"/>
        <v/>
      </c>
      <c r="CS83" s="716" t="str">
        <f t="shared" si="63"/>
        <v/>
      </c>
      <c r="CT83" s="716" t="str">
        <f t="shared" si="63"/>
        <v/>
      </c>
      <c r="CU83" s="716" t="str">
        <f t="shared" si="63"/>
        <v/>
      </c>
      <c r="CV83" s="717" t="str">
        <f>IF(CN83="",CM83,IF(CO83="",CN83,IF(CP83="",CO83,IF(CQ83="",CP83,IF(CR83="",CQ83,IF(CS83="",CR83,IF(CT83="",CS83,"faux")))))))</f>
        <v/>
      </c>
      <c r="CW83" s="718" t="str">
        <f>IF(E83=0,"",VLOOKUP(B83,[10]liste!AU:BD,10,FALSE))</f>
        <v/>
      </c>
      <c r="CX83" s="719">
        <f>IF(E83="","",E83+Q83)</f>
        <v>0</v>
      </c>
      <c r="CY83" s="720" t="str">
        <f>IF(CX83&lt;500,"NC",ROUNDDOWN(CX83/100,0))</f>
        <v>NC</v>
      </c>
      <c r="CZ83" s="789"/>
      <c r="DA83" s="789"/>
      <c r="DB83" s="789"/>
      <c r="DC83" s="722" t="str">
        <f t="shared" si="56"/>
        <v/>
      </c>
      <c r="DE83" s="723" t="str">
        <f t="shared" si="57"/>
        <v/>
      </c>
      <c r="DF83" s="723" t="str">
        <f t="shared" si="58"/>
        <v/>
      </c>
      <c r="DG83" s="697" t="str">
        <f>B83</f>
        <v/>
      </c>
      <c r="DH83" s="724" t="str">
        <f t="shared" si="60"/>
        <v/>
      </c>
      <c r="DI83" s="724" t="str">
        <f>CW83</f>
        <v/>
      </c>
      <c r="DJ83" s="719">
        <f>IF(E83="","",I83)</f>
        <v>0</v>
      </c>
      <c r="DK83" s="719">
        <f t="shared" si="62"/>
        <v>0</v>
      </c>
      <c r="DL83" s="719">
        <f>IF(DI83=2,"",CX83)</f>
        <v>0</v>
      </c>
      <c r="DM83" s="789"/>
      <c r="DN83" s="789"/>
      <c r="DO83" s="789"/>
      <c r="DP83" s="720" t="str">
        <f>IF(DJ83&lt;500,"NC",ROUNDDOWN(DJ83/100,0))</f>
        <v>NC</v>
      </c>
      <c r="DQ83" s="591">
        <f>VLOOKUP(DG83,[10]résultats!$A$2:$DE$70,109,FALSE)</f>
        <v>0</v>
      </c>
      <c r="DR83" s="591">
        <f>VLOOKUP(DG83,[10]résultats!$A$2:$DG$70,111,FALSE)</f>
        <v>0</v>
      </c>
      <c r="DU83" s="591">
        <f>IF(M83="",0,RANK(M83,$M$16:$M$71))</f>
        <v>0</v>
      </c>
    </row>
    <row r="84" spans="1:125" s="554" customFormat="1" ht="20.25">
      <c r="A84" s="308" t="str">
        <f>IF(B84="","",RANK(CX84,CX:CX))</f>
        <v/>
      </c>
      <c r="B84" s="297" t="str">
        <f>IF(E84=0,"",VLOOKUP(E84,[10]liste!AM:AN,2,FALSE))</f>
        <v/>
      </c>
      <c r="C84" s="298" t="str">
        <f>IF(E84=0,"",VLOOKUP(B84,[10]liste!AN:AP,3,FALSE))</f>
        <v/>
      </c>
      <c r="D84" s="691" t="str">
        <f>IF(CW84="","",CY84)</f>
        <v/>
      </c>
      <c r="E84" s="797">
        <f>LARGE([10]liste!AM:AM,69)</f>
        <v>0</v>
      </c>
      <c r="F84" s="693"/>
      <c r="G84" s="693"/>
      <c r="H84" s="693"/>
      <c r="I84" s="692"/>
      <c r="J84" s="693"/>
      <c r="K84" s="693"/>
      <c r="L84" s="693"/>
      <c r="M84" s="797"/>
      <c r="N84" s="694"/>
      <c r="O84" s="694"/>
      <c r="P84" s="695">
        <f t="shared" ca="1" si="50"/>
        <v>0</v>
      </c>
      <c r="Q84" s="170">
        <f>SUM(CM84:CU84)</f>
        <v>0</v>
      </c>
      <c r="R84" s="824">
        <f>IF(B84="",0,VLOOKUP(B84,[10]résultats!AX:DH,63,FALSE))</f>
        <v>0</v>
      </c>
      <c r="S84" s="697" t="str">
        <f>B84</f>
        <v/>
      </c>
      <c r="T84" s="171"/>
      <c r="U84" s="172"/>
      <c r="V84" s="292"/>
      <c r="W84" s="293"/>
      <c r="X84" s="725"/>
      <c r="Y84" s="825"/>
      <c r="Z84" s="826"/>
      <c r="AA84" s="818" t="s">
        <v>638</v>
      </c>
      <c r="AB84" s="819">
        <v>2</v>
      </c>
      <c r="AC84" s="827" t="s">
        <v>628</v>
      </c>
      <c r="AD84" s="639"/>
      <c r="AE84" s="639"/>
      <c r="AF84" s="639"/>
      <c r="AG84" s="581"/>
      <c r="AH84" s="581"/>
      <c r="AI84" s="581"/>
      <c r="AJ84" s="799"/>
      <c r="AK84" s="799"/>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c r="BI84" s="582"/>
      <c r="BJ84" s="582"/>
      <c r="BK84" s="582"/>
      <c r="BL84" s="582"/>
      <c r="BM84" s="582"/>
      <c r="BN84" s="582"/>
      <c r="BO84" s="582"/>
      <c r="BP84" s="582"/>
      <c r="BQ84" s="582"/>
      <c r="BR84" s="582"/>
      <c r="BS84" s="582"/>
      <c r="BT84" s="561"/>
      <c r="BU84" s="561"/>
      <c r="BV84" s="561"/>
      <c r="BW84" s="561"/>
      <c r="BX84" s="814"/>
      <c r="BY84" s="814"/>
      <c r="BZ84" s="814"/>
      <c r="CA84" s="588"/>
      <c r="CB84" s="588"/>
      <c r="CC84" s="589"/>
      <c r="CD84" s="561"/>
      <c r="CE84" s="561"/>
      <c r="CF84" s="561"/>
      <c r="CG84" s="561"/>
      <c r="CH84" s="561"/>
      <c r="CI84" s="714"/>
      <c r="CK84" s="715">
        <f>MAX(CM84:CU84)</f>
        <v>0</v>
      </c>
      <c r="CL84" s="591">
        <f>IF(D84=C84,0,IF(D84&lt;C84,1,2))</f>
        <v>0</v>
      </c>
      <c r="CM84" s="828" t="str">
        <f t="shared" si="63"/>
        <v/>
      </c>
      <c r="CN84" s="828" t="str">
        <f t="shared" si="63"/>
        <v/>
      </c>
      <c r="CO84" s="828" t="str">
        <f t="shared" si="63"/>
        <v/>
      </c>
      <c r="CP84" s="828" t="str">
        <f t="shared" si="63"/>
        <v/>
      </c>
      <c r="CQ84" s="828" t="str">
        <f t="shared" si="63"/>
        <v/>
      </c>
      <c r="CR84" s="828" t="str">
        <f t="shared" si="63"/>
        <v/>
      </c>
      <c r="CS84" s="828" t="str">
        <f t="shared" si="63"/>
        <v/>
      </c>
      <c r="CT84" s="828" t="str">
        <f t="shared" si="63"/>
        <v/>
      </c>
      <c r="CU84" s="716" t="str">
        <f t="shared" si="63"/>
        <v/>
      </c>
      <c r="CV84" s="717" t="str">
        <f>IF(CN84="",CM84,IF(CO84="",CN84,IF(CP84="",CO84,IF(CQ84="",CP84,IF(CR84="",CQ84,IF(CS84="",CR84,IF(CT84="",CS84,"faux")))))))</f>
        <v/>
      </c>
      <c r="CW84" s="718" t="str">
        <f>IF(E84=0,"",VLOOKUP(B84,[10]liste!AU:BD,10,FALSE))</f>
        <v/>
      </c>
      <c r="CX84" s="719">
        <f>IF(E84="","",E84+Q84)</f>
        <v>0</v>
      </c>
      <c r="CY84" s="720" t="str">
        <f>IF(CX84&lt;500,"NC",ROUNDDOWN(CX84/100,0))</f>
        <v>NC</v>
      </c>
      <c r="CZ84" s="789"/>
      <c r="DA84" s="789"/>
      <c r="DB84" s="789"/>
      <c r="DC84" s="722" t="str">
        <f t="shared" si="56"/>
        <v/>
      </c>
      <c r="DE84" s="723" t="str">
        <f t="shared" si="57"/>
        <v/>
      </c>
      <c r="DF84" s="723" t="str">
        <f t="shared" si="58"/>
        <v/>
      </c>
      <c r="DG84" s="697" t="str">
        <f>B84</f>
        <v/>
      </c>
      <c r="DH84" s="724" t="str">
        <f t="shared" si="60"/>
        <v/>
      </c>
      <c r="DI84" s="724" t="str">
        <f>CW84</f>
        <v/>
      </c>
      <c r="DJ84" s="719">
        <f>IF(E84="","",I84)</f>
        <v>0</v>
      </c>
      <c r="DK84" s="719">
        <f t="shared" si="62"/>
        <v>0</v>
      </c>
      <c r="DL84" s="719">
        <f>IF(DI84=2,"",CX84)</f>
        <v>0</v>
      </c>
      <c r="DM84" s="789"/>
      <c r="DN84" s="789"/>
      <c r="DO84" s="789"/>
      <c r="DP84" s="720" t="str">
        <f>IF(DJ84&lt;500,"NC",ROUNDDOWN(DJ84/100,0))</f>
        <v>NC</v>
      </c>
      <c r="DQ84" s="591">
        <f>VLOOKUP(DG84,[10]résultats!$A$2:$DE$70,109,FALSE)</f>
        <v>0</v>
      </c>
      <c r="DR84" s="591">
        <f>VLOOKUP(DG84,[10]résultats!$A$2:$DG$70,111,FALSE)</f>
        <v>0</v>
      </c>
      <c r="DU84" s="591">
        <f>IF(M84="",0,RANK(M84,$M$16:$M$71))</f>
        <v>0</v>
      </c>
    </row>
    <row r="85" spans="1:125" s="554" customFormat="1" ht="80.25" customHeight="1">
      <c r="B85" s="829"/>
      <c r="C85" s="830"/>
      <c r="D85" s="830"/>
      <c r="E85" s="831"/>
      <c r="F85" s="832"/>
      <c r="G85" s="832"/>
      <c r="H85" s="833"/>
      <c r="I85" s="834"/>
      <c r="J85" s="833"/>
      <c r="K85" s="833"/>
      <c r="L85" s="833"/>
      <c r="M85" s="834"/>
      <c r="N85" s="833"/>
      <c r="O85" s="833"/>
      <c r="P85" s="835"/>
      <c r="Q85" s="835"/>
      <c r="R85" s="836">
        <f>IF(B85="",0,VLOOKUP(B85,[10]résultats!AX:DH,63,FALSE))</f>
        <v>0</v>
      </c>
      <c r="S85" s="837"/>
      <c r="T85" s="830"/>
      <c r="U85" s="830"/>
      <c r="V85" s="830"/>
      <c r="W85" s="830"/>
      <c r="X85" s="838"/>
      <c r="Y85" s="830"/>
      <c r="Z85" s="826"/>
      <c r="AA85" s="818"/>
      <c r="AB85" s="819"/>
      <c r="AC85" s="827"/>
      <c r="AD85" s="639"/>
      <c r="AE85" s="639"/>
      <c r="AF85" s="639"/>
      <c r="AG85" s="581"/>
      <c r="AH85" s="581"/>
      <c r="AI85" s="581"/>
      <c r="AJ85" s="799"/>
      <c r="AK85" s="799"/>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c r="BI85" s="582"/>
      <c r="BJ85" s="582"/>
      <c r="BK85" s="582"/>
      <c r="BL85" s="582"/>
      <c r="BM85" s="582"/>
      <c r="BN85" s="582"/>
      <c r="BO85" s="582"/>
      <c r="BP85" s="582"/>
      <c r="BQ85" s="582"/>
      <c r="BR85" s="582"/>
      <c r="BS85" s="582"/>
      <c r="BT85" s="561"/>
      <c r="BU85" s="561"/>
      <c r="BV85" s="561"/>
      <c r="BW85" s="561"/>
      <c r="BX85" s="814"/>
      <c r="BY85" s="814"/>
      <c r="BZ85" s="814"/>
      <c r="CA85" s="588"/>
      <c r="CB85" s="588"/>
      <c r="CC85" s="589"/>
      <c r="CD85" s="561"/>
      <c r="CE85" s="561"/>
      <c r="CF85" s="561"/>
      <c r="CG85" s="561"/>
      <c r="CH85" s="561"/>
      <c r="CI85" s="561"/>
      <c r="CM85" s="839"/>
      <c r="CN85" s="839"/>
      <c r="CO85" s="839"/>
      <c r="CP85" s="839"/>
      <c r="CQ85" s="839"/>
      <c r="CR85" s="839"/>
      <c r="CS85" s="839"/>
      <c r="CT85" s="839"/>
      <c r="CU85" s="839"/>
      <c r="CW85" s="840"/>
      <c r="CX85" s="840"/>
      <c r="CY85" s="840"/>
      <c r="CZ85" s="840"/>
      <c r="DA85" s="840"/>
      <c r="DB85" s="840"/>
      <c r="DC85" s="840">
        <f ca="1">COUNTIF(DC16:DC84,"x")</f>
        <v>8</v>
      </c>
      <c r="DD85" s="840"/>
      <c r="DE85" s="840"/>
      <c r="DF85" s="840"/>
      <c r="DG85" s="841"/>
      <c r="DH85" s="841"/>
      <c r="DI85" s="841"/>
      <c r="DJ85" s="840"/>
      <c r="DK85" s="840"/>
      <c r="DL85" s="840"/>
      <c r="DM85" s="840"/>
      <c r="DN85" s="840"/>
      <c r="DO85" s="840"/>
      <c r="DP85" s="840"/>
    </row>
    <row r="86" spans="1:125" s="554" customFormat="1" ht="15">
      <c r="C86" s="830"/>
      <c r="D86" s="830"/>
      <c r="E86" s="831"/>
      <c r="F86" s="842"/>
      <c r="G86" s="842"/>
      <c r="H86" s="843"/>
      <c r="I86" s="844"/>
      <c r="J86" s="843"/>
      <c r="K86" s="843"/>
      <c r="L86" s="843"/>
      <c r="M86" s="844"/>
      <c r="N86" s="843"/>
      <c r="O86" s="843"/>
      <c r="P86" s="835"/>
      <c r="Q86" s="835"/>
      <c r="R86" s="836"/>
      <c r="S86" s="837"/>
      <c r="T86" s="830"/>
      <c r="U86" s="830"/>
      <c r="V86" s="830"/>
      <c r="W86" s="830"/>
      <c r="X86" s="838"/>
      <c r="Y86" s="830"/>
      <c r="Z86" s="826"/>
      <c r="AA86" s="845"/>
      <c r="AB86" s="581"/>
      <c r="AC86" s="581"/>
      <c r="AD86" s="639"/>
      <c r="AE86" s="639"/>
      <c r="AF86" s="639"/>
      <c r="AG86" s="581"/>
      <c r="AH86" s="581"/>
      <c r="AI86" s="581"/>
      <c r="AJ86" s="799"/>
      <c r="AK86" s="799"/>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c r="BI86" s="582">
        <f>COUNT('[10]blog stats'!C2:C94)</f>
        <v>93</v>
      </c>
      <c r="BJ86" s="582"/>
      <c r="BK86" s="582"/>
      <c r="BL86" s="582"/>
      <c r="BM86" s="582"/>
      <c r="BN86" s="582"/>
      <c r="BO86" s="582"/>
      <c r="BP86" s="582"/>
      <c r="BQ86" s="582"/>
      <c r="BR86" s="582"/>
      <c r="BS86" s="582"/>
      <c r="BT86" s="561"/>
      <c r="BU86" s="561"/>
      <c r="BV86" s="561"/>
      <c r="BW86" s="561"/>
      <c r="BX86" s="814"/>
      <c r="BY86" s="814"/>
      <c r="BZ86" s="814"/>
      <c r="CA86" s="588"/>
      <c r="CB86" s="588"/>
      <c r="CC86" s="589"/>
      <c r="CD86" s="561"/>
      <c r="CE86" s="561"/>
      <c r="CF86" s="561"/>
      <c r="CG86" s="561"/>
      <c r="CH86" s="561"/>
      <c r="CI86" s="561"/>
      <c r="CQ86" s="556"/>
      <c r="CR86" s="167"/>
      <c r="CW86" s="840"/>
      <c r="CX86" s="840"/>
      <c r="CY86" s="840"/>
      <c r="CZ86" s="840"/>
      <c r="DA86" s="840"/>
      <c r="DB86" s="840"/>
      <c r="DC86" s="840"/>
      <c r="DD86" s="840"/>
      <c r="DE86" s="840"/>
      <c r="DF86" s="840"/>
      <c r="DG86" s="841"/>
      <c r="DH86" s="841"/>
      <c r="DI86" s="841"/>
      <c r="DJ86" s="840"/>
      <c r="DK86" s="840"/>
      <c r="DL86" s="840"/>
      <c r="DM86" s="840"/>
      <c r="DN86" s="840"/>
      <c r="DO86" s="840"/>
      <c r="DP86" s="840"/>
    </row>
    <row r="87" spans="1:125" s="156" customFormat="1" ht="15.75">
      <c r="B87" s="829"/>
      <c r="C87" s="830"/>
      <c r="D87" s="830"/>
      <c r="E87" s="831"/>
      <c r="F87" s="842"/>
      <c r="G87" s="842"/>
      <c r="H87" s="843"/>
      <c r="I87" s="844"/>
      <c r="J87" s="843"/>
      <c r="K87" s="843"/>
      <c r="L87" s="843"/>
      <c r="M87" s="844"/>
      <c r="N87" s="843"/>
      <c r="O87" s="843"/>
      <c r="P87" s="835"/>
      <c r="Q87" s="835"/>
      <c r="R87" s="836">
        <f>IF(B87="",0,VLOOKUP(B87,[10]résultats!AX:DH,63,FALSE))</f>
        <v>0</v>
      </c>
      <c r="S87" s="837"/>
      <c r="T87" s="830"/>
      <c r="U87" s="830"/>
      <c r="V87" s="830"/>
      <c r="W87" s="830"/>
      <c r="X87" s="838"/>
      <c r="Y87" s="830"/>
      <c r="Z87" s="846"/>
      <c r="AA87" s="845"/>
      <c r="AB87" s="169"/>
      <c r="AC87" s="169"/>
      <c r="AD87" s="168"/>
      <c r="AE87" s="168"/>
      <c r="AF87" s="168"/>
      <c r="AG87" s="169"/>
      <c r="AH87" s="169"/>
      <c r="AI87" s="169"/>
      <c r="AJ87" s="799"/>
      <c r="AK87" s="799"/>
      <c r="AL87" s="554"/>
      <c r="AM87" s="847"/>
      <c r="AN87" s="847"/>
      <c r="AO87" s="847"/>
      <c r="AP87" s="847"/>
      <c r="AQ87" s="847"/>
      <c r="AR87" s="847"/>
      <c r="AS87" s="847"/>
      <c r="AT87" s="847"/>
      <c r="AU87" s="847"/>
      <c r="AV87" s="847"/>
      <c r="AW87" s="847"/>
      <c r="AX87" s="847"/>
      <c r="AY87" s="847"/>
      <c r="AZ87" s="847"/>
      <c r="BA87" s="847"/>
      <c r="BB87" s="847"/>
      <c r="BC87" s="847"/>
      <c r="BD87" s="847"/>
      <c r="BE87" s="847"/>
      <c r="BF87" s="847"/>
      <c r="BG87" s="847"/>
      <c r="BH87" s="847"/>
      <c r="BI87" s="847"/>
      <c r="BJ87" s="847"/>
      <c r="BK87" s="847"/>
      <c r="BL87" s="847"/>
      <c r="BM87" s="847"/>
      <c r="BN87" s="847"/>
      <c r="BO87" s="847"/>
      <c r="BP87" s="847"/>
      <c r="BQ87" s="847"/>
      <c r="BR87" s="847"/>
      <c r="BS87" s="847"/>
      <c r="BT87" s="299"/>
      <c r="BU87" s="299"/>
      <c r="BV87" s="299"/>
      <c r="BW87" s="299"/>
      <c r="BX87" s="848"/>
      <c r="BY87" s="848"/>
      <c r="BZ87" s="814"/>
      <c r="CA87" s="588"/>
      <c r="CB87" s="588"/>
      <c r="CC87" s="589"/>
      <c r="CD87" s="561"/>
      <c r="CE87" s="561"/>
      <c r="CF87" s="561"/>
      <c r="CG87" s="561"/>
      <c r="CH87" s="561"/>
      <c r="CI87" s="561"/>
      <c r="CJ87" s="554"/>
      <c r="CK87" s="554"/>
      <c r="CL87" s="554"/>
      <c r="CM87" s="554"/>
      <c r="CN87" s="554"/>
      <c r="CO87" s="554"/>
      <c r="CP87" s="554"/>
      <c r="CQ87" s="556"/>
      <c r="CR87" s="167"/>
      <c r="CS87" s="554"/>
      <c r="CT87" s="554"/>
      <c r="CU87" s="554"/>
      <c r="CV87" s="554"/>
      <c r="CW87" s="840"/>
      <c r="CX87" s="840"/>
      <c r="CY87" s="840"/>
      <c r="CZ87" s="840"/>
      <c r="DA87" s="840"/>
      <c r="DB87" s="840"/>
      <c r="DC87" s="840"/>
      <c r="DD87" s="840"/>
      <c r="DE87" s="840"/>
      <c r="DF87" s="840"/>
      <c r="DG87" s="841"/>
      <c r="DH87" s="841"/>
      <c r="DI87" s="841"/>
      <c r="DJ87" s="840"/>
      <c r="DK87" s="840"/>
      <c r="DL87" s="840"/>
      <c r="DM87" s="840"/>
      <c r="DN87" s="840"/>
      <c r="DO87" s="840"/>
      <c r="DP87" s="840"/>
    </row>
    <row r="88" spans="1:125" s="156" customFormat="1" ht="15.75">
      <c r="B88" s="849"/>
      <c r="C88" s="850"/>
      <c r="D88" s="850"/>
      <c r="E88" s="851"/>
      <c r="F88" s="852"/>
      <c r="G88" s="852"/>
      <c r="H88" s="853"/>
      <c r="I88" s="854"/>
      <c r="J88" s="853"/>
      <c r="K88" s="853"/>
      <c r="L88" s="853"/>
      <c r="M88" s="854"/>
      <c r="N88" s="853"/>
      <c r="O88" s="853"/>
      <c r="P88" s="855"/>
      <c r="Q88" s="855"/>
      <c r="R88" s="836">
        <f>IF(B88="",0,VLOOKUP(B88,[10]résultats!AX:DH,63,FALSE))</f>
        <v>0</v>
      </c>
      <c r="S88" s="856"/>
      <c r="T88" s="850"/>
      <c r="U88" s="850"/>
      <c r="V88" s="850"/>
      <c r="W88" s="850"/>
      <c r="X88" s="857"/>
      <c r="Y88" s="850"/>
      <c r="Z88" s="846"/>
      <c r="AA88" s="858"/>
      <c r="AB88" s="169"/>
      <c r="AC88" s="169"/>
      <c r="AD88" s="168"/>
      <c r="AE88" s="169"/>
      <c r="AF88" s="169"/>
      <c r="AG88" s="168"/>
      <c r="AH88" s="169"/>
      <c r="AI88" s="169"/>
      <c r="AJ88" s="169"/>
      <c r="AK88" s="169"/>
      <c r="AL88" s="799"/>
      <c r="AM88" s="847"/>
      <c r="AN88" s="847"/>
      <c r="AO88" s="847"/>
      <c r="AP88" s="847"/>
      <c r="AQ88" s="847"/>
      <c r="AR88" s="847"/>
      <c r="AS88" s="847"/>
      <c r="AT88" s="847"/>
      <c r="AU88" s="847"/>
      <c r="AV88" s="847"/>
      <c r="AW88" s="847"/>
      <c r="AX88" s="847"/>
      <c r="AY88" s="847"/>
      <c r="AZ88" s="847"/>
      <c r="BA88" s="847"/>
      <c r="BB88" s="847"/>
      <c r="BC88" s="847"/>
      <c r="BD88" s="847"/>
      <c r="BE88" s="847"/>
      <c r="BF88" s="847"/>
      <c r="BG88" s="847"/>
      <c r="BH88" s="847"/>
      <c r="BI88" s="847"/>
      <c r="BJ88" s="847"/>
      <c r="BK88" s="847"/>
      <c r="BL88" s="847"/>
      <c r="BM88" s="847"/>
      <c r="BN88" s="847"/>
      <c r="BO88" s="847"/>
      <c r="BP88" s="847"/>
      <c r="BQ88" s="847"/>
      <c r="BR88" s="847"/>
      <c r="BS88" s="847"/>
      <c r="BT88" s="859"/>
      <c r="BU88" s="860"/>
      <c r="BV88" s="586"/>
      <c r="BW88" s="586"/>
      <c r="BX88" s="848"/>
      <c r="BY88" s="848"/>
      <c r="BZ88" s="814"/>
      <c r="CA88" s="588"/>
      <c r="CB88" s="588"/>
      <c r="CC88" s="589"/>
      <c r="CD88" s="589"/>
      <c r="CE88" s="561"/>
      <c r="CF88" s="561"/>
      <c r="CG88" s="561"/>
      <c r="CH88" s="561"/>
      <c r="CI88" s="561"/>
      <c r="CJ88" s="554"/>
      <c r="CK88" s="554"/>
      <c r="CL88" s="554"/>
      <c r="CQ88" s="167"/>
      <c r="CR88" s="167"/>
      <c r="CW88" s="861"/>
      <c r="CX88" s="861"/>
      <c r="CY88" s="861"/>
      <c r="CZ88" s="861"/>
      <c r="DA88" s="861"/>
      <c r="DB88" s="861"/>
      <c r="DC88" s="861"/>
      <c r="DD88" s="861"/>
      <c r="DE88" s="861"/>
      <c r="DF88" s="861"/>
      <c r="DG88" s="862"/>
      <c r="DH88" s="862"/>
      <c r="DI88" s="862"/>
      <c r="DJ88" s="861"/>
      <c r="DK88" s="861"/>
      <c r="DL88" s="861"/>
      <c r="DM88" s="861"/>
      <c r="DN88" s="861"/>
      <c r="DO88" s="861"/>
      <c r="DP88" s="861"/>
    </row>
    <row r="89" spans="1:125" s="156" customFormat="1" ht="15.75">
      <c r="A89" s="861"/>
      <c r="B89" s="849"/>
      <c r="C89" s="850"/>
      <c r="D89" s="850"/>
      <c r="E89" s="851"/>
      <c r="F89" s="852"/>
      <c r="G89" s="852"/>
      <c r="H89" s="853"/>
      <c r="I89" s="854"/>
      <c r="J89" s="853"/>
      <c r="K89" s="853"/>
      <c r="L89" s="853"/>
      <c r="M89" s="854"/>
      <c r="N89" s="853"/>
      <c r="O89" s="853"/>
      <c r="P89" s="855"/>
      <c r="Q89" s="855"/>
      <c r="R89" s="836">
        <f>IF(B89="",0,VLOOKUP(B89,[10]résultats!AX:DH,63,FALSE))</f>
        <v>0</v>
      </c>
      <c r="S89" s="856"/>
      <c r="T89" s="850"/>
      <c r="U89" s="850"/>
      <c r="V89" s="850"/>
      <c r="W89" s="850"/>
      <c r="X89" s="857"/>
      <c r="Y89" s="850"/>
      <c r="Z89" s="846"/>
      <c r="AA89" s="863"/>
      <c r="AB89" s="169"/>
      <c r="AC89" s="169"/>
      <c r="AD89" s="168"/>
      <c r="AE89" s="169"/>
      <c r="AF89" s="169"/>
      <c r="AG89" s="168"/>
      <c r="AH89" s="169"/>
      <c r="AI89" s="169"/>
      <c r="AJ89" s="169"/>
      <c r="AK89" s="169"/>
      <c r="AL89" s="799"/>
      <c r="AM89" s="847"/>
      <c r="AN89" s="847"/>
      <c r="AO89" s="847"/>
      <c r="AP89" s="847"/>
      <c r="AQ89" s="847"/>
      <c r="AR89" s="847"/>
      <c r="AS89" s="847"/>
      <c r="AT89" s="847"/>
      <c r="AU89" s="847"/>
      <c r="AV89" s="847"/>
      <c r="AW89" s="847"/>
      <c r="AX89" s="847"/>
      <c r="AY89" s="847"/>
      <c r="AZ89" s="847"/>
      <c r="BA89" s="847"/>
      <c r="BB89" s="847"/>
      <c r="BC89" s="847"/>
      <c r="BD89" s="847"/>
      <c r="BE89" s="847"/>
      <c r="BF89" s="847"/>
      <c r="BG89" s="847"/>
      <c r="BH89" s="847"/>
      <c r="BI89" s="847"/>
      <c r="BJ89" s="847"/>
      <c r="BK89" s="847"/>
      <c r="BL89" s="847"/>
      <c r="BM89" s="847"/>
      <c r="BN89" s="847"/>
      <c r="BO89" s="847"/>
      <c r="BP89" s="847"/>
      <c r="BQ89" s="847"/>
      <c r="BR89" s="847"/>
      <c r="BS89" s="847"/>
      <c r="BT89" s="859"/>
      <c r="BU89" s="860"/>
      <c r="BV89" s="586"/>
      <c r="BW89" s="586"/>
      <c r="BX89" s="848"/>
      <c r="BY89" s="848"/>
      <c r="BZ89" s="814"/>
      <c r="CA89" s="588"/>
      <c r="CB89" s="588"/>
      <c r="CC89" s="589"/>
      <c r="CD89" s="589"/>
      <c r="CE89" s="561"/>
      <c r="CF89" s="561"/>
      <c r="CG89" s="561"/>
      <c r="CH89" s="561"/>
      <c r="CI89" s="561"/>
      <c r="CJ89" s="554"/>
      <c r="CK89" s="554"/>
      <c r="CL89" s="554"/>
      <c r="CQ89" s="167"/>
      <c r="CR89" s="167"/>
      <c r="CW89" s="861"/>
      <c r="CX89" s="861"/>
      <c r="CY89" s="861"/>
      <c r="CZ89" s="861"/>
      <c r="DA89" s="861"/>
      <c r="DB89" s="861"/>
      <c r="DC89" s="861"/>
      <c r="DD89" s="861"/>
      <c r="DE89" s="861"/>
      <c r="DF89" s="861"/>
      <c r="DG89" s="862"/>
      <c r="DH89" s="862"/>
      <c r="DI89" s="862"/>
      <c r="DJ89" s="861"/>
      <c r="DK89" s="861"/>
      <c r="DL89" s="861"/>
      <c r="DM89" s="861"/>
      <c r="DN89" s="861"/>
      <c r="DO89" s="861"/>
      <c r="DP89" s="861"/>
    </row>
    <row r="90" spans="1:125" s="156" customFormat="1" ht="15.75">
      <c r="A90" s="861"/>
      <c r="B90" s="849"/>
      <c r="C90" s="850"/>
      <c r="D90" s="850"/>
      <c r="E90" s="851"/>
      <c r="F90" s="852"/>
      <c r="G90" s="852"/>
      <c r="H90" s="853"/>
      <c r="I90" s="854"/>
      <c r="J90" s="853"/>
      <c r="K90" s="853"/>
      <c r="L90" s="853"/>
      <c r="M90" s="854"/>
      <c r="N90" s="853"/>
      <c r="O90" s="853"/>
      <c r="P90" s="855"/>
      <c r="Q90" s="855"/>
      <c r="R90" s="836">
        <f>IF(B90="",0,VLOOKUP(B90,[10]résultats!AX:DH,63,FALSE))</f>
        <v>0</v>
      </c>
      <c r="S90" s="856"/>
      <c r="T90" s="850"/>
      <c r="U90" s="850"/>
      <c r="V90" s="850"/>
      <c r="W90" s="850"/>
      <c r="X90" s="857"/>
      <c r="Y90" s="850"/>
      <c r="Z90" s="846"/>
      <c r="AA90" s="863"/>
      <c r="AB90" s="169"/>
      <c r="AC90" s="169"/>
      <c r="AD90" s="168"/>
      <c r="AE90" s="169"/>
      <c r="AF90" s="169"/>
      <c r="AG90" s="168"/>
      <c r="AH90" s="169"/>
      <c r="AI90" s="169"/>
      <c r="AJ90" s="169"/>
      <c r="AK90" s="169"/>
      <c r="AL90" s="799"/>
      <c r="AM90" s="847"/>
      <c r="AN90" s="847"/>
      <c r="AO90" s="847"/>
      <c r="AP90" s="847"/>
      <c r="AQ90" s="847"/>
      <c r="AR90" s="847"/>
      <c r="AS90" s="847"/>
      <c r="AT90" s="847"/>
      <c r="AU90" s="847"/>
      <c r="AV90" s="847"/>
      <c r="AW90" s="847"/>
      <c r="AX90" s="847"/>
      <c r="AY90" s="847"/>
      <c r="AZ90" s="847"/>
      <c r="BA90" s="847"/>
      <c r="BB90" s="847"/>
      <c r="BC90" s="847"/>
      <c r="BD90" s="847"/>
      <c r="BE90" s="847"/>
      <c r="BF90" s="847"/>
      <c r="BG90" s="847"/>
      <c r="BH90" s="847"/>
      <c r="BI90" s="847"/>
      <c r="BJ90" s="847"/>
      <c r="BK90" s="847"/>
      <c r="BL90" s="847"/>
      <c r="BM90" s="847"/>
      <c r="BN90" s="847"/>
      <c r="BO90" s="847"/>
      <c r="BP90" s="847"/>
      <c r="BQ90" s="847"/>
      <c r="BR90" s="847"/>
      <c r="BS90" s="847"/>
      <c r="BT90" s="859"/>
      <c r="BU90" s="860"/>
      <c r="BV90" s="586"/>
      <c r="BW90" s="586"/>
      <c r="BX90" s="561"/>
      <c r="BY90" s="561"/>
      <c r="BZ90" s="561"/>
      <c r="CA90" s="561"/>
      <c r="CB90" s="561"/>
      <c r="CC90" s="589"/>
      <c r="CD90" s="589"/>
      <c r="CE90" s="561"/>
      <c r="CF90" s="561"/>
      <c r="CG90" s="561"/>
      <c r="CH90" s="561"/>
      <c r="CI90" s="561"/>
      <c r="CJ90" s="554"/>
      <c r="CK90" s="554"/>
      <c r="CL90" s="554"/>
      <c r="CQ90" s="167"/>
      <c r="CR90" s="167"/>
      <c r="CW90" s="861"/>
      <c r="CX90" s="861"/>
      <c r="CY90" s="861"/>
      <c r="CZ90" s="861"/>
      <c r="DA90" s="861"/>
      <c r="DB90" s="861"/>
      <c r="DC90" s="861"/>
      <c r="DD90" s="861"/>
      <c r="DE90" s="861"/>
      <c r="DF90" s="861"/>
      <c r="DG90" s="862"/>
      <c r="DH90" s="862"/>
      <c r="DI90" s="862"/>
      <c r="DJ90" s="861"/>
      <c r="DK90" s="861"/>
      <c r="DL90" s="861"/>
      <c r="DM90" s="861"/>
      <c r="DN90" s="861"/>
      <c r="DO90" s="861"/>
      <c r="DP90" s="861"/>
    </row>
    <row r="91" spans="1:125" s="156" customFormat="1" ht="15.75">
      <c r="A91" s="861"/>
      <c r="B91" s="849"/>
      <c r="C91" s="850"/>
      <c r="D91" s="850"/>
      <c r="E91" s="851"/>
      <c r="F91" s="852"/>
      <c r="G91" s="852"/>
      <c r="H91" s="853"/>
      <c r="I91" s="854"/>
      <c r="J91" s="853"/>
      <c r="K91" s="853"/>
      <c r="L91" s="853"/>
      <c r="M91" s="854"/>
      <c r="N91" s="853"/>
      <c r="O91" s="853"/>
      <c r="P91" s="855"/>
      <c r="Q91" s="855"/>
      <c r="R91" s="836">
        <f>IF(B91="",0,VLOOKUP(B91,[10]résultats!AX:DH,63,FALSE))</f>
        <v>0</v>
      </c>
      <c r="S91" s="856"/>
      <c r="T91" s="850"/>
      <c r="U91" s="850"/>
      <c r="V91" s="850"/>
      <c r="W91" s="850"/>
      <c r="X91" s="857"/>
      <c r="Y91" s="850"/>
      <c r="Z91" s="864"/>
      <c r="AA91" s="863"/>
      <c r="AB91" s="169"/>
      <c r="AC91" s="169"/>
      <c r="AD91" s="168"/>
      <c r="AE91" s="169"/>
      <c r="AF91" s="169"/>
      <c r="AG91" s="168"/>
      <c r="AH91" s="169"/>
      <c r="AI91" s="169"/>
      <c r="AJ91" s="169"/>
      <c r="AK91" s="169"/>
      <c r="AL91" s="799"/>
      <c r="AM91" s="847"/>
      <c r="AN91" s="847"/>
      <c r="AO91" s="847"/>
      <c r="AP91" s="847"/>
      <c r="AQ91" s="847"/>
      <c r="AR91" s="847"/>
      <c r="AS91" s="847"/>
      <c r="AT91" s="847"/>
      <c r="AU91" s="847"/>
      <c r="AV91" s="847"/>
      <c r="AW91" s="847"/>
      <c r="AX91" s="847"/>
      <c r="AY91" s="847"/>
      <c r="AZ91" s="847"/>
      <c r="BA91" s="847"/>
      <c r="BB91" s="847"/>
      <c r="BC91" s="847"/>
      <c r="BD91" s="847"/>
      <c r="BE91" s="847"/>
      <c r="BF91" s="847"/>
      <c r="BG91" s="847"/>
      <c r="BH91" s="847"/>
      <c r="BI91" s="847"/>
      <c r="BJ91" s="847"/>
      <c r="BK91" s="847"/>
      <c r="BL91" s="847"/>
      <c r="BM91" s="847"/>
      <c r="BN91" s="847"/>
      <c r="BO91" s="847"/>
      <c r="BP91" s="847"/>
      <c r="BQ91" s="847"/>
      <c r="BR91" s="847"/>
      <c r="BS91" s="847"/>
      <c r="BT91" s="865"/>
      <c r="BU91" s="860"/>
      <c r="BV91" s="586"/>
      <c r="BW91" s="586"/>
      <c r="BX91" s="299"/>
      <c r="BY91" s="866"/>
      <c r="BZ91" s="866"/>
      <c r="CA91" s="866"/>
      <c r="CB91" s="299"/>
      <c r="CC91" s="589"/>
      <c r="CD91" s="589"/>
      <c r="CE91" s="589"/>
      <c r="CF91" s="561"/>
      <c r="CG91" s="561"/>
      <c r="CH91" s="561"/>
      <c r="CI91" s="561"/>
      <c r="CJ91" s="554"/>
      <c r="CK91" s="554"/>
      <c r="CL91" s="554"/>
      <c r="CQ91" s="167"/>
      <c r="CR91" s="167"/>
      <c r="CW91" s="861"/>
      <c r="CX91" s="861"/>
      <c r="CY91" s="861"/>
      <c r="CZ91" s="861"/>
      <c r="DA91" s="861"/>
      <c r="DB91" s="861"/>
      <c r="DC91" s="861"/>
      <c r="DD91" s="861"/>
      <c r="DE91" s="861"/>
      <c r="DF91" s="861"/>
      <c r="DG91" s="862"/>
      <c r="DH91" s="862"/>
      <c r="DI91" s="862"/>
      <c r="DJ91" s="861"/>
      <c r="DK91" s="861"/>
      <c r="DL91" s="861"/>
      <c r="DM91" s="861"/>
      <c r="DN91" s="861"/>
      <c r="DO91" s="861"/>
      <c r="DP91" s="861"/>
    </row>
    <row r="92" spans="1:125" s="156" customFormat="1" ht="15.75">
      <c r="A92" s="565"/>
      <c r="B92" s="849"/>
      <c r="C92" s="867"/>
      <c r="D92" s="867"/>
      <c r="E92" s="851"/>
      <c r="F92" s="852"/>
      <c r="G92" s="852"/>
      <c r="H92" s="853"/>
      <c r="I92" s="854"/>
      <c r="J92" s="853"/>
      <c r="K92" s="853"/>
      <c r="L92" s="853"/>
      <c r="M92" s="854"/>
      <c r="N92" s="853"/>
      <c r="O92" s="853"/>
      <c r="P92" s="855"/>
      <c r="Q92" s="855"/>
      <c r="R92" s="836">
        <f>IF(B92="",0,VLOOKUP(B92,[10]résultats!AX:DH,63,FALSE))</f>
        <v>0</v>
      </c>
      <c r="S92" s="868"/>
      <c r="T92" s="867"/>
      <c r="U92" s="867"/>
      <c r="V92" s="867"/>
      <c r="W92" s="867"/>
      <c r="X92" s="869"/>
      <c r="Y92" s="867"/>
      <c r="Z92" s="864"/>
      <c r="AA92" s="863"/>
      <c r="AB92" s="169"/>
      <c r="AC92" s="169"/>
      <c r="AD92" s="168"/>
      <c r="AE92" s="169"/>
      <c r="AF92" s="169"/>
      <c r="AG92" s="168"/>
      <c r="AH92" s="169"/>
      <c r="AI92" s="169"/>
      <c r="AJ92" s="169"/>
      <c r="AK92" s="169"/>
      <c r="AL92" s="799"/>
      <c r="AM92" s="847"/>
      <c r="AN92" s="847"/>
      <c r="AO92" s="847"/>
      <c r="AP92" s="847"/>
      <c r="AQ92" s="847"/>
      <c r="AR92" s="847"/>
      <c r="AS92" s="847"/>
      <c r="AT92" s="847"/>
      <c r="AU92" s="847"/>
      <c r="AV92" s="847"/>
      <c r="AW92" s="847"/>
      <c r="AX92" s="847"/>
      <c r="AY92" s="847"/>
      <c r="AZ92" s="847"/>
      <c r="BA92" s="847"/>
      <c r="BB92" s="847"/>
      <c r="BC92" s="847"/>
      <c r="BD92" s="847"/>
      <c r="BE92" s="847"/>
      <c r="BF92" s="847"/>
      <c r="BG92" s="847"/>
      <c r="BH92" s="847"/>
      <c r="BI92" s="847"/>
      <c r="BJ92" s="847"/>
      <c r="BK92" s="847"/>
      <c r="BL92" s="847"/>
      <c r="BM92" s="847"/>
      <c r="BN92" s="847"/>
      <c r="BO92" s="847"/>
      <c r="BP92" s="847"/>
      <c r="BQ92" s="847"/>
      <c r="BR92" s="847"/>
      <c r="BS92" s="847"/>
      <c r="BT92" s="865"/>
      <c r="BU92" s="860"/>
      <c r="BV92" s="586"/>
      <c r="BW92" s="586"/>
      <c r="BX92" s="299"/>
      <c r="BY92" s="866"/>
      <c r="BZ92" s="866"/>
      <c r="CA92" s="866"/>
      <c r="CB92" s="299"/>
      <c r="CC92" s="589"/>
      <c r="CD92" s="589"/>
      <c r="CE92" s="589"/>
      <c r="CF92" s="561"/>
      <c r="CG92" s="561"/>
      <c r="CH92" s="561"/>
      <c r="CI92" s="561"/>
      <c r="CJ92" s="554"/>
      <c r="CK92" s="554"/>
      <c r="CL92" s="554"/>
      <c r="CR92" s="167"/>
      <c r="CS92" s="167"/>
      <c r="CW92" s="565"/>
      <c r="CX92" s="565"/>
      <c r="CY92" s="565"/>
      <c r="CZ92" s="565"/>
      <c r="DA92" s="565"/>
      <c r="DB92" s="565"/>
      <c r="DC92" s="565"/>
      <c r="DD92" s="565"/>
      <c r="DE92" s="565"/>
      <c r="DF92" s="565"/>
      <c r="DG92" s="870"/>
      <c r="DH92" s="870"/>
      <c r="DI92" s="870"/>
      <c r="DJ92" s="565"/>
      <c r="DK92" s="565"/>
      <c r="DL92" s="565"/>
      <c r="DM92" s="565"/>
      <c r="DN92" s="565"/>
      <c r="DO92" s="565"/>
      <c r="DP92" s="565"/>
    </row>
    <row r="93" spans="1:125" s="156" customFormat="1" ht="15.75">
      <c r="A93" s="565"/>
      <c r="B93" s="849"/>
      <c r="C93" s="867"/>
      <c r="D93" s="867"/>
      <c r="E93" s="851"/>
      <c r="F93" s="852"/>
      <c r="G93" s="852"/>
      <c r="H93" s="853"/>
      <c r="I93" s="854"/>
      <c r="J93" s="853"/>
      <c r="K93" s="853"/>
      <c r="L93" s="853"/>
      <c r="M93" s="854"/>
      <c r="N93" s="853"/>
      <c r="O93" s="853"/>
      <c r="P93" s="855"/>
      <c r="Q93" s="855"/>
      <c r="R93" s="836">
        <f>IF(B93="",0,VLOOKUP(B93,[10]résultats!AX:DH,63,FALSE))</f>
        <v>0</v>
      </c>
      <c r="S93" s="868"/>
      <c r="T93" s="867"/>
      <c r="U93" s="867"/>
      <c r="V93" s="867"/>
      <c r="W93" s="867"/>
      <c r="X93" s="869"/>
      <c r="Y93" s="867"/>
      <c r="Z93" s="864"/>
      <c r="AA93" s="863"/>
      <c r="AB93" s="169"/>
      <c r="AC93" s="169"/>
      <c r="AD93" s="168"/>
      <c r="AE93" s="169"/>
      <c r="AF93" s="169"/>
      <c r="AG93" s="168"/>
      <c r="AH93" s="169"/>
      <c r="AI93" s="169"/>
      <c r="AJ93" s="169"/>
      <c r="AK93" s="169"/>
      <c r="AL93" s="799"/>
      <c r="AM93" s="847"/>
      <c r="AN93" s="847"/>
      <c r="AO93" s="847"/>
      <c r="AP93" s="847"/>
      <c r="AQ93" s="847"/>
      <c r="AR93" s="847"/>
      <c r="AS93" s="847"/>
      <c r="AT93" s="847"/>
      <c r="AU93" s="847"/>
      <c r="AV93" s="847"/>
      <c r="AW93" s="847"/>
      <c r="AX93" s="847"/>
      <c r="AY93" s="847"/>
      <c r="AZ93" s="847"/>
      <c r="BA93" s="847"/>
      <c r="BB93" s="847"/>
      <c r="BC93" s="847"/>
      <c r="BD93" s="847"/>
      <c r="BE93" s="847"/>
      <c r="BF93" s="847"/>
      <c r="BG93" s="847"/>
      <c r="BH93" s="847"/>
      <c r="BI93" s="847"/>
      <c r="BJ93" s="847"/>
      <c r="BK93" s="847"/>
      <c r="BL93" s="847"/>
      <c r="BM93" s="847"/>
      <c r="BN93" s="847"/>
      <c r="BO93" s="847"/>
      <c r="BP93" s="847"/>
      <c r="BQ93" s="847"/>
      <c r="BR93" s="847"/>
      <c r="BS93" s="847"/>
      <c r="BT93" s="865"/>
      <c r="BU93" s="860"/>
      <c r="BV93" s="586"/>
      <c r="BW93" s="586"/>
      <c r="BX93" s="299"/>
      <c r="BY93" s="866"/>
      <c r="BZ93" s="866"/>
      <c r="CA93" s="866"/>
      <c r="CB93" s="299"/>
      <c r="CC93" s="589"/>
      <c r="CD93" s="589"/>
      <c r="CE93" s="589"/>
      <c r="CF93" s="561"/>
      <c r="CG93" s="561"/>
      <c r="CH93" s="561"/>
      <c r="CI93" s="561"/>
      <c r="CJ93" s="554"/>
      <c r="CK93" s="554"/>
      <c r="CL93" s="554"/>
      <c r="CR93" s="167"/>
      <c r="CS93" s="167"/>
      <c r="CW93" s="565"/>
      <c r="CX93" s="565"/>
      <c r="CY93" s="565"/>
      <c r="CZ93" s="565"/>
      <c r="DA93" s="565"/>
      <c r="DB93" s="565"/>
      <c r="DC93" s="565"/>
      <c r="DD93" s="565"/>
      <c r="DE93" s="565"/>
      <c r="DF93" s="565"/>
      <c r="DG93" s="870"/>
      <c r="DH93" s="870"/>
      <c r="DI93" s="870"/>
      <c r="DJ93" s="565"/>
      <c r="DK93" s="565"/>
      <c r="DL93" s="565"/>
      <c r="DM93" s="565"/>
      <c r="DN93" s="565"/>
      <c r="DO93" s="565"/>
      <c r="DP93" s="565"/>
    </row>
    <row r="94" spans="1:125" s="156" customFormat="1" ht="15.75">
      <c r="A94" s="565"/>
      <c r="B94" s="849"/>
      <c r="C94" s="867"/>
      <c r="D94" s="867"/>
      <c r="E94" s="851"/>
      <c r="F94" s="852"/>
      <c r="G94" s="852"/>
      <c r="H94" s="853"/>
      <c r="I94" s="854"/>
      <c r="J94" s="853"/>
      <c r="K94" s="853"/>
      <c r="L94" s="853"/>
      <c r="M94" s="854"/>
      <c r="N94" s="853"/>
      <c r="O94" s="853"/>
      <c r="P94" s="855"/>
      <c r="Q94" s="855"/>
      <c r="R94" s="836">
        <f>IF(B94="",0,VLOOKUP(B94,[10]résultats!AX:DH,63,FALSE))</f>
        <v>0</v>
      </c>
      <c r="S94" s="868"/>
      <c r="T94" s="867"/>
      <c r="U94" s="867"/>
      <c r="V94" s="867"/>
      <c r="W94" s="867"/>
      <c r="X94" s="869"/>
      <c r="Y94" s="867"/>
      <c r="Z94" s="864"/>
      <c r="AA94" s="863"/>
      <c r="AB94" s="169"/>
      <c r="AC94" s="169"/>
      <c r="AD94" s="168"/>
      <c r="AE94" s="169"/>
      <c r="AF94" s="169"/>
      <c r="AG94" s="168"/>
      <c r="AH94" s="169"/>
      <c r="AI94" s="169"/>
      <c r="AJ94" s="169"/>
      <c r="AK94" s="169"/>
      <c r="AL94" s="799"/>
      <c r="AM94" s="847"/>
      <c r="AN94" s="847"/>
      <c r="AO94" s="847"/>
      <c r="AP94" s="847"/>
      <c r="AQ94" s="847"/>
      <c r="AR94" s="847"/>
      <c r="AS94" s="847"/>
      <c r="AT94" s="847"/>
      <c r="AU94" s="847"/>
      <c r="AV94" s="847"/>
      <c r="AW94" s="847"/>
      <c r="AX94" s="847"/>
      <c r="AY94" s="847"/>
      <c r="AZ94" s="847"/>
      <c r="BA94" s="847"/>
      <c r="BB94" s="847"/>
      <c r="BC94" s="847"/>
      <c r="BD94" s="847"/>
      <c r="BE94" s="847"/>
      <c r="BF94" s="847"/>
      <c r="BG94" s="847"/>
      <c r="BH94" s="847"/>
      <c r="BI94" s="847"/>
      <c r="BJ94" s="847"/>
      <c r="BK94" s="847"/>
      <c r="BL94" s="847"/>
      <c r="BM94" s="847"/>
      <c r="BN94" s="847"/>
      <c r="BO94" s="847"/>
      <c r="BP94" s="847"/>
      <c r="BQ94" s="847"/>
      <c r="BR94" s="847"/>
      <c r="BS94" s="847"/>
      <c r="BT94" s="865"/>
      <c r="BU94" s="860"/>
      <c r="BV94" s="586"/>
      <c r="BW94" s="586"/>
      <c r="BX94" s="299"/>
      <c r="BY94" s="866"/>
      <c r="BZ94" s="866"/>
      <c r="CA94" s="866"/>
      <c r="CB94" s="299"/>
      <c r="CC94" s="589"/>
      <c r="CD94" s="589"/>
      <c r="CE94" s="589"/>
      <c r="CF94" s="561"/>
      <c r="CG94" s="561"/>
      <c r="CH94" s="561"/>
      <c r="CI94" s="561"/>
      <c r="CJ94" s="554"/>
      <c r="CK94" s="554"/>
      <c r="CL94" s="554"/>
      <c r="CR94" s="167"/>
      <c r="CS94" s="167"/>
      <c r="CW94" s="565"/>
      <c r="CX94" s="565"/>
      <c r="CY94" s="565"/>
      <c r="CZ94" s="565"/>
      <c r="DA94" s="565"/>
      <c r="DB94" s="565"/>
      <c r="DC94" s="565"/>
      <c r="DD94" s="565"/>
      <c r="DE94" s="565"/>
      <c r="DF94" s="565"/>
      <c r="DG94" s="870"/>
      <c r="DH94" s="870"/>
      <c r="DI94" s="870"/>
      <c r="DJ94" s="565"/>
      <c r="DK94" s="565"/>
      <c r="DL94" s="565"/>
      <c r="DM94" s="565"/>
      <c r="DN94" s="565"/>
      <c r="DO94" s="565"/>
      <c r="DP94" s="565"/>
    </row>
    <row r="95" spans="1:125" s="156" customFormat="1" ht="18">
      <c r="A95" s="565"/>
      <c r="B95" s="849"/>
      <c r="C95" s="867"/>
      <c r="D95" s="867"/>
      <c r="E95" s="851"/>
      <c r="F95" s="852"/>
      <c r="G95" s="852"/>
      <c r="H95" s="853"/>
      <c r="I95" s="854"/>
      <c r="J95" s="853"/>
      <c r="K95" s="853"/>
      <c r="L95" s="853"/>
      <c r="M95" s="854"/>
      <c r="N95" s="853"/>
      <c r="O95" s="853"/>
      <c r="P95" s="855"/>
      <c r="Q95" s="855"/>
      <c r="R95" s="836">
        <f>IF(B95="",0,VLOOKUP(B95,[10]résultats!AX:DH,63,FALSE))</f>
        <v>0</v>
      </c>
      <c r="S95" s="868"/>
      <c r="T95" s="867"/>
      <c r="U95" s="867"/>
      <c r="V95" s="867"/>
      <c r="X95" s="167"/>
      <c r="Y95" s="867"/>
      <c r="Z95" s="864"/>
      <c r="AA95" s="871"/>
      <c r="AB95" s="169"/>
      <c r="AC95" s="169"/>
      <c r="AD95" s="872"/>
      <c r="AE95" s="873"/>
      <c r="AF95" s="169"/>
      <c r="AG95" s="168"/>
      <c r="AH95" s="874"/>
      <c r="AI95" s="169"/>
      <c r="AJ95" s="169"/>
      <c r="AK95" s="169"/>
      <c r="AL95" s="799"/>
      <c r="AM95" s="847"/>
      <c r="AN95" s="847"/>
      <c r="AO95" s="847"/>
      <c r="AP95" s="847"/>
      <c r="AQ95" s="847"/>
      <c r="AR95" s="847"/>
      <c r="AS95" s="847"/>
      <c r="AT95" s="847"/>
      <c r="AU95" s="847"/>
      <c r="AV95" s="847"/>
      <c r="AW95" s="847"/>
      <c r="AX95" s="847"/>
      <c r="AY95" s="847"/>
      <c r="AZ95" s="847"/>
      <c r="BA95" s="847"/>
      <c r="BB95" s="847"/>
      <c r="BC95" s="847"/>
      <c r="BD95" s="847"/>
      <c r="BE95" s="847"/>
      <c r="BF95" s="847"/>
      <c r="BG95" s="847"/>
      <c r="BH95" s="847"/>
      <c r="BI95" s="847"/>
      <c r="BJ95" s="847"/>
      <c r="BK95" s="847"/>
      <c r="BL95" s="847"/>
      <c r="BM95" s="847"/>
      <c r="BN95" s="847"/>
      <c r="BO95" s="847"/>
      <c r="BP95" s="847"/>
      <c r="BQ95" s="847"/>
      <c r="BR95" s="847"/>
      <c r="BS95" s="847"/>
      <c r="BT95" s="865"/>
      <c r="BU95" s="860"/>
      <c r="BV95" s="586"/>
      <c r="BW95" s="586"/>
      <c r="BX95" s="299"/>
      <c r="BY95" s="866"/>
      <c r="BZ95" s="299"/>
      <c r="CA95" s="588"/>
      <c r="CB95" s="299"/>
      <c r="CC95" s="589"/>
      <c r="CD95" s="589"/>
      <c r="CE95" s="589"/>
      <c r="CF95" s="561"/>
      <c r="CG95" s="561"/>
      <c r="CH95" s="561"/>
      <c r="CI95" s="561"/>
      <c r="CJ95" s="554"/>
      <c r="CK95" s="554"/>
      <c r="CL95" s="554"/>
      <c r="CR95" s="167"/>
      <c r="CS95" s="167"/>
      <c r="CW95" s="565"/>
      <c r="CX95" s="565"/>
      <c r="CY95" s="565"/>
      <c r="CZ95" s="565"/>
      <c r="DA95" s="565"/>
      <c r="DB95" s="565"/>
      <c r="DC95" s="565"/>
      <c r="DD95" s="565"/>
      <c r="DE95" s="565"/>
      <c r="DF95" s="565"/>
      <c r="DG95" s="870"/>
      <c r="DH95" s="870"/>
      <c r="DI95" s="870"/>
      <c r="DJ95" s="565"/>
      <c r="DK95" s="565"/>
      <c r="DL95" s="565"/>
      <c r="DM95" s="565"/>
      <c r="DN95" s="565"/>
      <c r="DO95" s="565"/>
      <c r="DP95" s="565"/>
    </row>
    <row r="96" spans="1:125" s="156" customFormat="1" ht="18">
      <c r="A96" s="565"/>
      <c r="B96" s="849"/>
      <c r="C96" s="867"/>
      <c r="D96" s="867"/>
      <c r="E96" s="851"/>
      <c r="F96" s="852"/>
      <c r="G96" s="852"/>
      <c r="H96" s="853"/>
      <c r="I96" s="854"/>
      <c r="J96" s="853"/>
      <c r="K96" s="853"/>
      <c r="L96" s="853"/>
      <c r="M96" s="854"/>
      <c r="N96" s="853"/>
      <c r="O96" s="853"/>
      <c r="P96" s="855"/>
      <c r="Q96" s="855"/>
      <c r="R96" s="836">
        <f>IF(B96="",0,VLOOKUP(B96,[10]résultats!AX:DH,63,FALSE))</f>
        <v>0</v>
      </c>
      <c r="S96" s="868"/>
      <c r="T96" s="867"/>
      <c r="U96" s="867"/>
      <c r="V96" s="867"/>
      <c r="W96" s="867"/>
      <c r="X96" s="869"/>
      <c r="Y96" s="867"/>
      <c r="Z96" s="864"/>
      <c r="AA96" s="871"/>
      <c r="AB96" s="169"/>
      <c r="AC96" s="169"/>
      <c r="AD96" s="872"/>
      <c r="AE96" s="873"/>
      <c r="AF96" s="169"/>
      <c r="AG96" s="168"/>
      <c r="AH96" s="169"/>
      <c r="AI96" s="169"/>
      <c r="AJ96" s="169"/>
      <c r="AK96" s="169"/>
      <c r="AL96" s="799"/>
      <c r="AM96" s="847"/>
      <c r="AN96" s="847"/>
      <c r="AO96" s="847"/>
      <c r="AP96" s="847"/>
      <c r="AQ96" s="847"/>
      <c r="AR96" s="847"/>
      <c r="AS96" s="847"/>
      <c r="AT96" s="847"/>
      <c r="AU96" s="847"/>
      <c r="AV96" s="847"/>
      <c r="AW96" s="847"/>
      <c r="AX96" s="847"/>
      <c r="AY96" s="847"/>
      <c r="AZ96" s="847"/>
      <c r="BA96" s="847"/>
      <c r="BB96" s="847"/>
      <c r="BC96" s="847"/>
      <c r="BD96" s="847"/>
      <c r="BE96" s="847"/>
      <c r="BF96" s="847"/>
      <c r="BG96" s="847"/>
      <c r="BH96" s="847"/>
      <c r="BI96" s="847"/>
      <c r="BJ96" s="847"/>
      <c r="BK96" s="847"/>
      <c r="BL96" s="847"/>
      <c r="BM96" s="847"/>
      <c r="BN96" s="847"/>
      <c r="BO96" s="847"/>
      <c r="BP96" s="847"/>
      <c r="BQ96" s="847"/>
      <c r="BR96" s="847"/>
      <c r="BS96" s="847"/>
      <c r="BT96" s="865"/>
      <c r="BU96" s="860"/>
      <c r="BV96" s="586"/>
      <c r="BW96" s="586"/>
      <c r="BX96" s="299"/>
      <c r="BY96" s="866"/>
      <c r="BZ96" s="299"/>
      <c r="CA96" s="588"/>
      <c r="CB96" s="299"/>
      <c r="CC96" s="589"/>
      <c r="CD96" s="589"/>
      <c r="CE96" s="589"/>
      <c r="CF96" s="561"/>
      <c r="CG96" s="561"/>
      <c r="CH96" s="561"/>
      <c r="CI96" s="561"/>
      <c r="CJ96" s="554"/>
      <c r="CK96" s="554"/>
      <c r="CL96" s="554"/>
      <c r="CR96" s="167"/>
      <c r="CS96" s="167"/>
      <c r="CW96" s="565"/>
      <c r="CX96" s="565"/>
      <c r="CY96" s="565"/>
      <c r="CZ96" s="565"/>
      <c r="DA96" s="565"/>
      <c r="DB96" s="565"/>
      <c r="DC96" s="565"/>
      <c r="DD96" s="565"/>
      <c r="DE96" s="565"/>
      <c r="DF96" s="565"/>
      <c r="DG96" s="870"/>
      <c r="DH96" s="870"/>
      <c r="DI96" s="870"/>
      <c r="DJ96" s="565"/>
      <c r="DK96" s="565"/>
      <c r="DL96" s="565"/>
      <c r="DM96" s="565"/>
      <c r="DN96" s="565"/>
      <c r="DO96" s="565"/>
      <c r="DP96" s="565"/>
    </row>
    <row r="97" spans="1:120" s="156" customFormat="1" ht="15.75">
      <c r="A97" s="565"/>
      <c r="B97" s="829"/>
      <c r="C97" s="867"/>
      <c r="D97" s="867"/>
      <c r="E97" s="875" t="str">
        <f>""</f>
        <v/>
      </c>
      <c r="F97" s="842" t="str">
        <f>""</f>
        <v/>
      </c>
      <c r="G97" s="842" t="str">
        <f>""</f>
        <v/>
      </c>
      <c r="H97" s="843" t="str">
        <f>""</f>
        <v/>
      </c>
      <c r="I97" s="876"/>
      <c r="J97" s="843"/>
      <c r="K97" s="843"/>
      <c r="L97" s="843"/>
      <c r="M97" s="876"/>
      <c r="N97" s="843"/>
      <c r="O97" s="843"/>
      <c r="P97" s="877"/>
      <c r="Q97" s="877"/>
      <c r="R97" s="836">
        <f>IF(B97="",0,VLOOKUP(B97,[10]résultats!AX:DH,63,FALSE))</f>
        <v>0</v>
      </c>
      <c r="S97" s="868"/>
      <c r="T97" s="867"/>
      <c r="U97" s="867"/>
      <c r="V97" s="867"/>
      <c r="W97" s="867"/>
      <c r="X97" s="869"/>
      <c r="Y97" s="867"/>
      <c r="Z97" s="864"/>
      <c r="AA97" s="878"/>
      <c r="AB97" s="169"/>
      <c r="AC97" s="169"/>
      <c r="AD97" s="872"/>
      <c r="AE97" s="873"/>
      <c r="AF97" s="169"/>
      <c r="AG97" s="168"/>
      <c r="AH97" s="169"/>
      <c r="AI97" s="169"/>
      <c r="AJ97" s="169"/>
      <c r="AK97" s="169"/>
      <c r="AL97" s="799"/>
      <c r="AM97" s="847"/>
      <c r="AN97" s="847"/>
      <c r="AO97" s="847"/>
      <c r="AP97" s="847"/>
      <c r="AQ97" s="847"/>
      <c r="AR97" s="847"/>
      <c r="AS97" s="847"/>
      <c r="AT97" s="847"/>
      <c r="AU97" s="847"/>
      <c r="AV97" s="847"/>
      <c r="AW97" s="847"/>
      <c r="AX97" s="847"/>
      <c r="AY97" s="847"/>
      <c r="AZ97" s="847"/>
      <c r="BA97" s="847"/>
      <c r="BB97" s="847"/>
      <c r="BC97" s="847"/>
      <c r="BD97" s="847"/>
      <c r="BE97" s="847"/>
      <c r="BF97" s="847"/>
      <c r="BG97" s="847"/>
      <c r="BH97" s="847"/>
      <c r="BI97" s="847"/>
      <c r="BJ97" s="847"/>
      <c r="BK97" s="847"/>
      <c r="BL97" s="847"/>
      <c r="BM97" s="847"/>
      <c r="BN97" s="847"/>
      <c r="BO97" s="847"/>
      <c r="BP97" s="847"/>
      <c r="BQ97" s="847"/>
      <c r="BR97" s="847"/>
      <c r="BS97" s="847"/>
      <c r="BT97" s="865"/>
      <c r="BU97" s="860"/>
      <c r="BV97" s="586"/>
      <c r="BW97" s="586"/>
      <c r="BX97" s="587"/>
      <c r="BY97" s="587"/>
      <c r="BZ97" s="640"/>
      <c r="CA97" s="588"/>
      <c r="CB97" s="588"/>
      <c r="CC97" s="589"/>
      <c r="CD97" s="589"/>
      <c r="CE97" s="589"/>
      <c r="CF97" s="561"/>
      <c r="CG97" s="561"/>
      <c r="CH97" s="561"/>
      <c r="CI97" s="561"/>
      <c r="CJ97" s="554"/>
      <c r="CK97" s="554"/>
      <c r="CL97" s="554"/>
      <c r="CM97" s="879"/>
      <c r="CN97" s="880" t="str">
        <f>""</f>
        <v/>
      </c>
      <c r="CO97" s="880"/>
      <c r="CP97" s="880"/>
      <c r="CQ97" s="880"/>
      <c r="CR97" s="880"/>
      <c r="CS97" s="880"/>
      <c r="CT97" s="880"/>
      <c r="CU97" s="880"/>
      <c r="CV97" s="880"/>
      <c r="CW97" s="565"/>
      <c r="CX97" s="565"/>
      <c r="CY97" s="565"/>
      <c r="CZ97" s="565"/>
      <c r="DA97" s="565"/>
      <c r="DB97" s="565"/>
      <c r="DC97" s="565"/>
      <c r="DD97" s="565"/>
      <c r="DE97" s="565"/>
      <c r="DF97" s="565"/>
      <c r="DG97" s="870"/>
      <c r="DH97" s="870"/>
      <c r="DI97" s="870"/>
      <c r="DJ97" s="565"/>
      <c r="DK97" s="565"/>
      <c r="DL97" s="565"/>
      <c r="DM97" s="565"/>
      <c r="DN97" s="565"/>
      <c r="DO97" s="565"/>
      <c r="DP97" s="565"/>
    </row>
    <row r="98" spans="1:120" s="156" customFormat="1" ht="15.75">
      <c r="A98" s="565"/>
      <c r="B98" s="829"/>
      <c r="C98" s="881"/>
      <c r="D98" s="867"/>
      <c r="E98" s="875" t="str">
        <f>""</f>
        <v/>
      </c>
      <c r="F98" s="842" t="str">
        <f>""</f>
        <v/>
      </c>
      <c r="G98" s="842" t="str">
        <f>""</f>
        <v/>
      </c>
      <c r="H98" s="843" t="str">
        <f>""</f>
        <v/>
      </c>
      <c r="I98" s="876"/>
      <c r="J98" s="843"/>
      <c r="K98" s="843"/>
      <c r="L98" s="843"/>
      <c r="M98" s="876"/>
      <c r="N98" s="843"/>
      <c r="O98" s="843"/>
      <c r="P98" s="877"/>
      <c r="Q98" s="877"/>
      <c r="R98" s="836">
        <f>IF(B98="",0,VLOOKUP(B98,[10]résultats!AX:DH,63,FALSE))</f>
        <v>0</v>
      </c>
      <c r="S98" s="868"/>
      <c r="T98" s="867"/>
      <c r="U98" s="867"/>
      <c r="V98" s="867"/>
      <c r="W98" s="867"/>
      <c r="X98" s="869"/>
      <c r="Y98" s="867"/>
      <c r="Z98" s="864"/>
      <c r="AA98" s="882"/>
      <c r="AB98" s="169"/>
      <c r="AC98" s="169"/>
      <c r="AD98" s="872"/>
      <c r="AE98" s="873"/>
      <c r="AF98" s="169"/>
      <c r="AG98" s="168"/>
      <c r="AH98" s="169"/>
      <c r="AI98" s="169"/>
      <c r="AJ98" s="169"/>
      <c r="AK98" s="169"/>
      <c r="AL98" s="799"/>
      <c r="AM98" s="847"/>
      <c r="AN98" s="847"/>
      <c r="AO98" s="847"/>
      <c r="AP98" s="847"/>
      <c r="AQ98" s="847"/>
      <c r="AR98" s="847"/>
      <c r="AS98" s="847"/>
      <c r="AT98" s="847"/>
      <c r="AU98" s="847"/>
      <c r="AV98" s="847"/>
      <c r="AW98" s="847"/>
      <c r="AX98" s="847"/>
      <c r="AY98" s="847"/>
      <c r="AZ98" s="847"/>
      <c r="BA98" s="847"/>
      <c r="BB98" s="847"/>
      <c r="BC98" s="847"/>
      <c r="BD98" s="847"/>
      <c r="BE98" s="847"/>
      <c r="BF98" s="847"/>
      <c r="BG98" s="847"/>
      <c r="BH98" s="847"/>
      <c r="BI98" s="847"/>
      <c r="BJ98" s="847"/>
      <c r="BK98" s="847"/>
      <c r="BL98" s="847"/>
      <c r="BM98" s="847"/>
      <c r="BN98" s="847"/>
      <c r="BO98" s="847"/>
      <c r="BP98" s="847"/>
      <c r="BQ98" s="847"/>
      <c r="BR98" s="847"/>
      <c r="BS98" s="847"/>
      <c r="BT98" s="865"/>
      <c r="BU98" s="860"/>
      <c r="BV98" s="586"/>
      <c r="BW98" s="586"/>
      <c r="BX98" s="587"/>
      <c r="BY98" s="587"/>
      <c r="BZ98" s="640"/>
      <c r="CA98" s="588"/>
      <c r="CB98" s="588"/>
      <c r="CC98" s="589"/>
      <c r="CD98" s="589"/>
      <c r="CE98" s="589"/>
      <c r="CF98" s="561"/>
      <c r="CG98" s="561"/>
      <c r="CH98" s="561"/>
      <c r="CI98" s="561"/>
      <c r="CJ98" s="554"/>
      <c r="CK98" s="554"/>
      <c r="CL98" s="554"/>
      <c r="CM98" s="879"/>
      <c r="CN98" s="880" t="str">
        <f>""</f>
        <v/>
      </c>
      <c r="CO98" s="880"/>
      <c r="CP98" s="880"/>
      <c r="CQ98" s="880"/>
      <c r="CR98" s="880"/>
      <c r="CS98" s="880"/>
      <c r="CT98" s="880"/>
      <c r="CU98" s="880"/>
      <c r="CV98" s="880"/>
      <c r="CW98" s="565"/>
      <c r="CX98" s="565"/>
      <c r="CY98" s="565"/>
      <c r="CZ98" s="565"/>
      <c r="DA98" s="565"/>
      <c r="DB98" s="565"/>
      <c r="DC98" s="565"/>
      <c r="DD98" s="565"/>
      <c r="DE98" s="565"/>
      <c r="DF98" s="565"/>
      <c r="DG98" s="870"/>
      <c r="DH98" s="870"/>
      <c r="DI98" s="870"/>
      <c r="DJ98" s="565"/>
      <c r="DK98" s="565"/>
      <c r="DL98" s="565"/>
      <c r="DM98" s="565"/>
      <c r="DN98" s="565"/>
      <c r="DO98" s="565"/>
      <c r="DP98" s="565"/>
    </row>
    <row r="99" spans="1:120" s="156" customFormat="1" ht="15.75">
      <c r="A99" s="565"/>
      <c r="B99" s="829"/>
      <c r="C99" s="881"/>
      <c r="D99" s="867"/>
      <c r="E99" s="831"/>
      <c r="F99" s="842"/>
      <c r="G99" s="842"/>
      <c r="H99" s="843"/>
      <c r="I99" s="844"/>
      <c r="J99" s="843"/>
      <c r="K99" s="843"/>
      <c r="L99" s="843"/>
      <c r="M99" s="844"/>
      <c r="N99" s="843"/>
      <c r="O99" s="843"/>
      <c r="P99" s="835"/>
      <c r="Q99" s="835"/>
      <c r="R99" s="836">
        <f>IF(B99="",0,VLOOKUP(B99,[10]résultats!AX:DH,63,FALSE))</f>
        <v>0</v>
      </c>
      <c r="S99" s="868"/>
      <c r="T99" s="867"/>
      <c r="U99" s="867"/>
      <c r="V99" s="867"/>
      <c r="W99" s="867"/>
      <c r="X99" s="869"/>
      <c r="Y99" s="867"/>
      <c r="Z99" s="864"/>
      <c r="AA99" s="878"/>
      <c r="AB99" s="169"/>
      <c r="AC99" s="169"/>
      <c r="AD99" s="872"/>
      <c r="AE99" s="873"/>
      <c r="AF99" s="169"/>
      <c r="AG99" s="168"/>
      <c r="AH99" s="169"/>
      <c r="AI99" s="169"/>
      <c r="AJ99" s="169"/>
      <c r="AK99" s="169"/>
      <c r="AL99" s="799"/>
      <c r="AM99" s="847"/>
      <c r="AN99" s="847"/>
      <c r="AO99" s="847"/>
      <c r="AP99" s="847"/>
      <c r="AQ99" s="847"/>
      <c r="AR99" s="847"/>
      <c r="AS99" s="847"/>
      <c r="AT99" s="847"/>
      <c r="AU99" s="847"/>
      <c r="AV99" s="847"/>
      <c r="AW99" s="847"/>
      <c r="AX99" s="847"/>
      <c r="AY99" s="847"/>
      <c r="AZ99" s="847"/>
      <c r="BA99" s="847"/>
      <c r="BB99" s="847"/>
      <c r="BC99" s="847"/>
      <c r="BD99" s="847"/>
      <c r="BE99" s="847"/>
      <c r="BF99" s="847"/>
      <c r="BG99" s="847"/>
      <c r="BH99" s="847"/>
      <c r="BI99" s="847"/>
      <c r="BJ99" s="847"/>
      <c r="BK99" s="847"/>
      <c r="BL99" s="847"/>
      <c r="BM99" s="847"/>
      <c r="BN99" s="847"/>
      <c r="BO99" s="847"/>
      <c r="BP99" s="847"/>
      <c r="BQ99" s="847"/>
      <c r="BR99" s="847"/>
      <c r="BS99" s="847"/>
      <c r="BT99" s="865"/>
      <c r="BU99" s="860"/>
      <c r="BV99" s="586"/>
      <c r="BW99" s="586"/>
      <c r="BX99" s="587"/>
      <c r="BY99" s="587"/>
      <c r="BZ99" s="640"/>
      <c r="CA99" s="588"/>
      <c r="CB99" s="588"/>
      <c r="CC99" s="589"/>
      <c r="CD99" s="589"/>
      <c r="CE99" s="589"/>
      <c r="CF99" s="561"/>
      <c r="CG99" s="561"/>
      <c r="CH99" s="561"/>
      <c r="CI99" s="561"/>
      <c r="CJ99" s="554"/>
      <c r="CK99" s="554"/>
      <c r="CL99" s="554"/>
      <c r="CM99" s="554"/>
      <c r="CN99" s="554"/>
      <c r="CO99" s="554"/>
      <c r="CP99" s="554"/>
      <c r="CQ99" s="554"/>
      <c r="CR99" s="556"/>
      <c r="CS99" s="556"/>
      <c r="CT99" s="554"/>
      <c r="CU99" s="554"/>
      <c r="CV99" s="554"/>
      <c r="CW99" s="565"/>
      <c r="CX99" s="565"/>
      <c r="CY99" s="565"/>
      <c r="CZ99" s="565"/>
      <c r="DA99" s="565"/>
      <c r="DB99" s="565"/>
      <c r="DC99" s="565"/>
      <c r="DD99" s="565"/>
      <c r="DE99" s="565"/>
      <c r="DF99" s="565"/>
      <c r="DG99" s="870"/>
      <c r="DH99" s="870"/>
      <c r="DI99" s="870"/>
      <c r="DJ99" s="565"/>
      <c r="DK99" s="565"/>
      <c r="DL99" s="565"/>
      <c r="DM99" s="565"/>
      <c r="DN99" s="565"/>
      <c r="DO99" s="565"/>
      <c r="DP99" s="565"/>
    </row>
    <row r="100" spans="1:120" s="156" customFormat="1" ht="15.75">
      <c r="A100" s="565"/>
      <c r="B100" s="829"/>
      <c r="C100" s="881"/>
      <c r="D100" s="867"/>
      <c r="E100" s="831"/>
      <c r="F100" s="842"/>
      <c r="G100" s="842"/>
      <c r="H100" s="843"/>
      <c r="I100" s="844"/>
      <c r="J100" s="843"/>
      <c r="K100" s="843"/>
      <c r="L100" s="843"/>
      <c r="M100" s="844"/>
      <c r="N100" s="843"/>
      <c r="O100" s="843"/>
      <c r="P100" s="835"/>
      <c r="Q100" s="835"/>
      <c r="R100" s="836">
        <f>IF(B100="",0,VLOOKUP(B100,[10]résultats!AX:DH,63,FALSE))</f>
        <v>0</v>
      </c>
      <c r="S100" s="868"/>
      <c r="T100" s="867"/>
      <c r="U100" s="867"/>
      <c r="V100" s="867"/>
      <c r="W100" s="867"/>
      <c r="X100" s="869"/>
      <c r="Y100" s="867"/>
      <c r="Z100" s="864"/>
      <c r="AA100" s="878"/>
      <c r="AB100" s="169"/>
      <c r="AC100" s="169"/>
      <c r="AD100" s="872"/>
      <c r="AE100" s="873"/>
      <c r="AF100" s="169"/>
      <c r="AG100" s="168"/>
      <c r="AH100" s="169"/>
      <c r="AI100" s="169"/>
      <c r="AJ100" s="169"/>
      <c r="AK100" s="169"/>
      <c r="AL100" s="799"/>
      <c r="AM100" s="847"/>
      <c r="AN100" s="847"/>
      <c r="AO100" s="847"/>
      <c r="AP100" s="847"/>
      <c r="AQ100" s="847"/>
      <c r="AR100" s="847"/>
      <c r="AS100" s="847"/>
      <c r="AT100" s="847"/>
      <c r="AU100" s="847"/>
      <c r="AV100" s="847"/>
      <c r="AW100" s="847"/>
      <c r="AX100" s="847"/>
      <c r="AY100" s="847"/>
      <c r="AZ100" s="847"/>
      <c r="BA100" s="847"/>
      <c r="BB100" s="847"/>
      <c r="BC100" s="847"/>
      <c r="BD100" s="847"/>
      <c r="BE100" s="847"/>
      <c r="BF100" s="847"/>
      <c r="BG100" s="847"/>
      <c r="BH100" s="847"/>
      <c r="BI100" s="847"/>
      <c r="BJ100" s="847"/>
      <c r="BK100" s="847"/>
      <c r="BL100" s="847"/>
      <c r="BM100" s="847"/>
      <c r="BN100" s="847"/>
      <c r="BO100" s="847"/>
      <c r="BP100" s="847"/>
      <c r="BQ100" s="847"/>
      <c r="BR100" s="847"/>
      <c r="BS100" s="847"/>
      <c r="BT100" s="865"/>
      <c r="BU100" s="860"/>
      <c r="BV100" s="586"/>
      <c r="BW100" s="586"/>
      <c r="BX100" s="587"/>
      <c r="BY100" s="587"/>
      <c r="BZ100" s="640"/>
      <c r="CA100" s="588"/>
      <c r="CB100" s="588"/>
      <c r="CC100" s="589"/>
      <c r="CD100" s="589"/>
      <c r="CE100" s="589"/>
      <c r="CF100" s="561"/>
      <c r="CG100" s="561"/>
      <c r="CH100" s="561"/>
      <c r="CI100" s="561"/>
      <c r="CJ100" s="554"/>
      <c r="CK100" s="554"/>
      <c r="CL100" s="554"/>
      <c r="CM100" s="554"/>
      <c r="CN100" s="554"/>
      <c r="CO100" s="554"/>
      <c r="CP100" s="554"/>
      <c r="CQ100" s="554"/>
      <c r="CR100" s="556"/>
      <c r="CS100" s="556"/>
      <c r="CT100" s="554"/>
      <c r="CU100" s="554"/>
      <c r="CV100" s="554"/>
      <c r="CW100" s="565"/>
      <c r="CX100" s="565"/>
      <c r="CY100" s="565"/>
      <c r="CZ100" s="565"/>
      <c r="DA100" s="565"/>
      <c r="DB100" s="565"/>
      <c r="DC100" s="565"/>
      <c r="DD100" s="565"/>
      <c r="DE100" s="565"/>
      <c r="DF100" s="565"/>
      <c r="DG100" s="870"/>
      <c r="DH100" s="870"/>
      <c r="DI100" s="870"/>
      <c r="DJ100" s="565"/>
      <c r="DK100" s="565"/>
      <c r="DL100" s="565"/>
      <c r="DM100" s="565"/>
      <c r="DN100" s="565"/>
      <c r="DO100" s="565"/>
      <c r="DP100" s="565"/>
    </row>
    <row r="101" spans="1:120" s="156" customFormat="1" ht="15.75">
      <c r="A101" s="565"/>
      <c r="B101" s="829"/>
      <c r="C101" s="881"/>
      <c r="D101" s="867"/>
      <c r="E101" s="831"/>
      <c r="F101" s="842"/>
      <c r="G101" s="842"/>
      <c r="H101" s="843"/>
      <c r="I101" s="844"/>
      <c r="J101" s="843"/>
      <c r="K101" s="843"/>
      <c r="L101" s="843"/>
      <c r="M101" s="844"/>
      <c r="N101" s="843"/>
      <c r="O101" s="843"/>
      <c r="P101" s="835"/>
      <c r="Q101" s="835"/>
      <c r="R101" s="836">
        <f>IF(B101="",0,VLOOKUP(B101,[10]résultats!AX:DH,63,FALSE))</f>
        <v>0</v>
      </c>
      <c r="S101" s="868"/>
      <c r="T101" s="867"/>
      <c r="U101" s="867"/>
      <c r="V101" s="867"/>
      <c r="W101" s="867"/>
      <c r="X101" s="869"/>
      <c r="Y101" s="867"/>
      <c r="Z101" s="864"/>
      <c r="AA101" s="878"/>
      <c r="AB101" s="169"/>
      <c r="AC101" s="169"/>
      <c r="AD101" s="872"/>
      <c r="AE101" s="169"/>
      <c r="AF101" s="169"/>
      <c r="AG101" s="168"/>
      <c r="AH101" s="169"/>
      <c r="AI101" s="169"/>
      <c r="AJ101" s="169"/>
      <c r="AK101" s="169"/>
      <c r="AL101" s="799"/>
      <c r="AM101" s="847"/>
      <c r="AN101" s="847"/>
      <c r="AO101" s="847"/>
      <c r="AP101" s="847"/>
      <c r="AQ101" s="847"/>
      <c r="AR101" s="847"/>
      <c r="AS101" s="847"/>
      <c r="AT101" s="847"/>
      <c r="AU101" s="847"/>
      <c r="AV101" s="847"/>
      <c r="AW101" s="847"/>
      <c r="AX101" s="847"/>
      <c r="AY101" s="847"/>
      <c r="AZ101" s="847"/>
      <c r="BA101" s="847"/>
      <c r="BB101" s="847"/>
      <c r="BC101" s="847"/>
      <c r="BD101" s="847"/>
      <c r="BE101" s="847"/>
      <c r="BF101" s="847"/>
      <c r="BG101" s="847"/>
      <c r="BH101" s="847"/>
      <c r="BI101" s="847"/>
      <c r="BJ101" s="847"/>
      <c r="BK101" s="847"/>
      <c r="BL101" s="847"/>
      <c r="BM101" s="847"/>
      <c r="BN101" s="847"/>
      <c r="BO101" s="847"/>
      <c r="BP101" s="847"/>
      <c r="BQ101" s="847"/>
      <c r="BR101" s="847"/>
      <c r="BS101" s="847"/>
      <c r="BT101" s="865"/>
      <c r="BU101" s="860"/>
      <c r="BV101" s="586"/>
      <c r="BW101" s="586"/>
      <c r="BX101" s="587"/>
      <c r="BY101" s="587"/>
      <c r="BZ101" s="640"/>
      <c r="CA101" s="588"/>
      <c r="CB101" s="588"/>
      <c r="CC101" s="589"/>
      <c r="CD101" s="589"/>
      <c r="CE101" s="589"/>
      <c r="CF101" s="561"/>
      <c r="CG101" s="561"/>
      <c r="CH101" s="561"/>
      <c r="CI101" s="561"/>
      <c r="CJ101" s="554"/>
      <c r="CK101" s="554"/>
      <c r="CL101" s="554"/>
      <c r="CM101" s="554"/>
      <c r="CN101" s="554"/>
      <c r="CO101" s="554"/>
      <c r="CP101" s="554"/>
      <c r="CQ101" s="554"/>
      <c r="CR101" s="556"/>
      <c r="CS101" s="556"/>
      <c r="CT101" s="554"/>
      <c r="CU101" s="554"/>
      <c r="CV101" s="554"/>
      <c r="CW101" s="565"/>
      <c r="CX101" s="565"/>
      <c r="CY101" s="565"/>
      <c r="CZ101" s="565"/>
      <c r="DA101" s="565"/>
      <c r="DB101" s="565"/>
      <c r="DC101" s="565"/>
      <c r="DD101" s="565"/>
      <c r="DE101" s="565"/>
      <c r="DF101" s="565"/>
      <c r="DG101" s="870"/>
      <c r="DH101" s="870"/>
      <c r="DI101" s="870"/>
      <c r="DJ101" s="565"/>
      <c r="DK101" s="565"/>
      <c r="DL101" s="565"/>
      <c r="DM101" s="565"/>
      <c r="DN101" s="565"/>
      <c r="DO101" s="565"/>
      <c r="DP101" s="565"/>
    </row>
    <row r="102" spans="1:120" s="156" customFormat="1" ht="15.75">
      <c r="A102" s="565"/>
      <c r="B102" s="829"/>
      <c r="C102" s="881"/>
      <c r="D102" s="867"/>
      <c r="E102" s="831"/>
      <c r="F102" s="842"/>
      <c r="G102" s="842"/>
      <c r="H102" s="843"/>
      <c r="I102" s="844"/>
      <c r="J102" s="843"/>
      <c r="K102" s="843"/>
      <c r="L102" s="843"/>
      <c r="M102" s="844"/>
      <c r="N102" s="843"/>
      <c r="O102" s="843"/>
      <c r="P102" s="835"/>
      <c r="Q102" s="835"/>
      <c r="R102" s="836">
        <f>IF(B102="",0,VLOOKUP(B102,[10]résultats!AX:DH,63,FALSE))</f>
        <v>0</v>
      </c>
      <c r="S102" s="868"/>
      <c r="T102" s="867"/>
      <c r="U102" s="867"/>
      <c r="V102" s="867"/>
      <c r="W102" s="867"/>
      <c r="X102" s="869"/>
      <c r="Y102" s="867"/>
      <c r="Z102" s="864"/>
      <c r="AA102" s="878"/>
      <c r="AB102" s="169"/>
      <c r="AC102" s="169"/>
      <c r="AD102" s="872"/>
      <c r="AE102" s="169"/>
      <c r="AF102" s="169"/>
      <c r="AG102" s="168"/>
      <c r="AH102" s="169"/>
      <c r="AI102" s="169"/>
      <c r="AJ102" s="169"/>
      <c r="AK102" s="169"/>
      <c r="AL102" s="799"/>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47"/>
      <c r="BJ102" s="847"/>
      <c r="BK102" s="847"/>
      <c r="BL102" s="847"/>
      <c r="BM102" s="847"/>
      <c r="BN102" s="847"/>
      <c r="BO102" s="847"/>
      <c r="BP102" s="847"/>
      <c r="BQ102" s="847"/>
      <c r="BR102" s="847"/>
      <c r="BS102" s="847"/>
      <c r="BT102" s="865"/>
      <c r="BU102" s="860"/>
      <c r="BV102" s="586"/>
      <c r="BW102" s="586"/>
      <c r="BX102" s="587"/>
      <c r="BY102" s="587"/>
      <c r="BZ102" s="640"/>
      <c r="CA102" s="588"/>
      <c r="CB102" s="588"/>
      <c r="CC102" s="589"/>
      <c r="CD102" s="589"/>
      <c r="CE102" s="589"/>
      <c r="CF102" s="561"/>
      <c r="CG102" s="561"/>
      <c r="CH102" s="561"/>
      <c r="CI102" s="561"/>
      <c r="CJ102" s="554"/>
      <c r="CK102" s="554"/>
      <c r="CL102" s="554"/>
      <c r="CM102" s="554"/>
      <c r="CN102" s="554"/>
      <c r="CO102" s="554"/>
      <c r="CP102" s="554"/>
      <c r="CQ102" s="554"/>
      <c r="CR102" s="556"/>
      <c r="CS102" s="556"/>
      <c r="CT102" s="554"/>
      <c r="CU102" s="554"/>
      <c r="CV102" s="554"/>
      <c r="CW102" s="565"/>
      <c r="CX102" s="565"/>
      <c r="CY102" s="565"/>
      <c r="CZ102" s="565"/>
      <c r="DA102" s="565"/>
      <c r="DB102" s="565"/>
      <c r="DC102" s="565"/>
      <c r="DD102" s="565"/>
      <c r="DE102" s="565"/>
      <c r="DF102" s="565"/>
      <c r="DG102" s="870"/>
      <c r="DH102" s="870"/>
      <c r="DI102" s="870"/>
      <c r="DJ102" s="565"/>
      <c r="DK102" s="565"/>
      <c r="DL102" s="565"/>
      <c r="DM102" s="565"/>
      <c r="DN102" s="565"/>
      <c r="DO102" s="565"/>
      <c r="DP102" s="565"/>
    </row>
    <row r="103" spans="1:120" s="156" customFormat="1" ht="15.75">
      <c r="A103" s="565"/>
      <c r="B103" s="829"/>
      <c r="C103" s="881"/>
      <c r="D103" s="867"/>
      <c r="E103" s="831"/>
      <c r="F103" s="842"/>
      <c r="G103" s="842"/>
      <c r="H103" s="843"/>
      <c r="I103" s="844"/>
      <c r="J103" s="843"/>
      <c r="K103" s="843"/>
      <c r="L103" s="843"/>
      <c r="M103" s="844"/>
      <c r="N103" s="843"/>
      <c r="O103" s="843"/>
      <c r="P103" s="835"/>
      <c r="Q103" s="835"/>
      <c r="R103" s="836">
        <f>IF(B103="",0,VLOOKUP(B103,[10]résultats!AX:DH,63,FALSE))</f>
        <v>0</v>
      </c>
      <c r="S103" s="868"/>
      <c r="T103" s="867"/>
      <c r="U103" s="867"/>
      <c r="V103" s="867"/>
      <c r="W103" s="867"/>
      <c r="X103" s="869"/>
      <c r="Y103" s="867"/>
      <c r="Z103" s="864"/>
      <c r="AA103" s="863"/>
      <c r="AB103" s="169"/>
      <c r="AC103" s="169"/>
      <c r="AD103" s="168"/>
      <c r="AE103" s="169"/>
      <c r="AF103" s="169"/>
      <c r="AG103" s="168"/>
      <c r="AH103" s="169"/>
      <c r="AI103" s="169"/>
      <c r="AJ103" s="169"/>
      <c r="AK103" s="169"/>
      <c r="AL103" s="799"/>
      <c r="AM103" s="847"/>
      <c r="AN103" s="847"/>
      <c r="AO103" s="847"/>
      <c r="AP103" s="847"/>
      <c r="AQ103" s="847"/>
      <c r="AR103" s="847"/>
      <c r="AS103" s="847"/>
      <c r="AT103" s="847"/>
      <c r="AU103" s="847"/>
      <c r="AV103" s="847"/>
      <c r="AW103" s="847"/>
      <c r="AX103" s="847"/>
      <c r="AY103" s="847"/>
      <c r="AZ103" s="847"/>
      <c r="BA103" s="847"/>
      <c r="BB103" s="847"/>
      <c r="BC103" s="847"/>
      <c r="BD103" s="847"/>
      <c r="BE103" s="847"/>
      <c r="BF103" s="847"/>
      <c r="BG103" s="847"/>
      <c r="BH103" s="847"/>
      <c r="BI103" s="847"/>
      <c r="BJ103" s="847"/>
      <c r="BK103" s="847"/>
      <c r="BL103" s="847"/>
      <c r="BM103" s="847"/>
      <c r="BN103" s="847"/>
      <c r="BO103" s="847"/>
      <c r="BP103" s="847"/>
      <c r="BQ103" s="847"/>
      <c r="BR103" s="847"/>
      <c r="BS103" s="847"/>
      <c r="BT103" s="865"/>
      <c r="BU103" s="860"/>
      <c r="BV103" s="586"/>
      <c r="BW103" s="586"/>
      <c r="BX103" s="587"/>
      <c r="BY103" s="587"/>
      <c r="BZ103" s="640"/>
      <c r="CA103" s="588"/>
      <c r="CB103" s="588"/>
      <c r="CC103" s="589"/>
      <c r="CD103" s="589"/>
      <c r="CE103" s="589"/>
      <c r="CF103" s="561"/>
      <c r="CG103" s="561"/>
      <c r="CH103" s="561"/>
      <c r="CI103" s="561"/>
      <c r="CJ103" s="554"/>
      <c r="CK103" s="554"/>
      <c r="CL103" s="554"/>
      <c r="CM103" s="554"/>
      <c r="CN103" s="554"/>
      <c r="CO103" s="554"/>
      <c r="CP103" s="554"/>
      <c r="CQ103" s="554"/>
      <c r="CR103" s="556"/>
      <c r="CS103" s="556"/>
      <c r="CT103" s="554"/>
      <c r="CU103" s="554"/>
      <c r="CV103" s="554"/>
      <c r="CW103" s="565"/>
      <c r="CX103" s="565"/>
      <c r="CY103" s="565"/>
      <c r="CZ103" s="565"/>
      <c r="DA103" s="565"/>
      <c r="DB103" s="565"/>
      <c r="DC103" s="565"/>
      <c r="DD103" s="565"/>
      <c r="DE103" s="565"/>
      <c r="DF103" s="565"/>
      <c r="DG103" s="870"/>
      <c r="DH103" s="870"/>
      <c r="DI103" s="870"/>
      <c r="DJ103" s="565"/>
      <c r="DK103" s="565"/>
      <c r="DL103" s="565"/>
      <c r="DM103" s="565"/>
      <c r="DN103" s="565"/>
      <c r="DO103" s="565"/>
      <c r="DP103" s="565"/>
    </row>
    <row r="104" spans="1:120" s="156" customFormat="1" ht="15.75">
      <c r="A104" s="565"/>
      <c r="B104" s="829"/>
      <c r="C104" s="881"/>
      <c r="D104" s="867"/>
      <c r="E104" s="831"/>
      <c r="F104" s="842"/>
      <c r="G104" s="842"/>
      <c r="H104" s="843"/>
      <c r="I104" s="844"/>
      <c r="J104" s="843"/>
      <c r="K104" s="843"/>
      <c r="L104" s="843"/>
      <c r="M104" s="844"/>
      <c r="N104" s="843"/>
      <c r="O104" s="843"/>
      <c r="P104" s="835"/>
      <c r="Q104" s="835"/>
      <c r="R104" s="836">
        <f>IF(B104="",0,VLOOKUP(B104,[10]résultats!AX:DH,63,FALSE))</f>
        <v>0</v>
      </c>
      <c r="S104" s="868"/>
      <c r="T104" s="867"/>
      <c r="U104" s="867"/>
      <c r="V104" s="867"/>
      <c r="W104" s="867"/>
      <c r="X104" s="869"/>
      <c r="Y104" s="867"/>
      <c r="Z104" s="864"/>
      <c r="AA104" s="863"/>
      <c r="AB104" s="169"/>
      <c r="AC104" s="169"/>
      <c r="AD104" s="168"/>
      <c r="AE104" s="169"/>
      <c r="AF104" s="169"/>
      <c r="AG104" s="168"/>
      <c r="AH104" s="169"/>
      <c r="AI104" s="169"/>
      <c r="AJ104" s="169"/>
      <c r="AK104" s="169"/>
      <c r="AL104" s="799"/>
      <c r="AM104" s="847"/>
      <c r="AN104" s="847"/>
      <c r="AO104" s="847"/>
      <c r="AP104" s="847"/>
      <c r="AQ104" s="847"/>
      <c r="AR104" s="847"/>
      <c r="AS104" s="847"/>
      <c r="AT104" s="847"/>
      <c r="AU104" s="847"/>
      <c r="AV104" s="847"/>
      <c r="AW104" s="847"/>
      <c r="AX104" s="847"/>
      <c r="AY104" s="847"/>
      <c r="AZ104" s="847"/>
      <c r="BA104" s="847"/>
      <c r="BB104" s="847"/>
      <c r="BC104" s="847"/>
      <c r="BD104" s="847"/>
      <c r="BE104" s="847"/>
      <c r="BF104" s="847"/>
      <c r="BG104" s="847"/>
      <c r="BH104" s="847"/>
      <c r="BI104" s="847"/>
      <c r="BJ104" s="847"/>
      <c r="BK104" s="847"/>
      <c r="BL104" s="847"/>
      <c r="BM104" s="847"/>
      <c r="BN104" s="847"/>
      <c r="BO104" s="847"/>
      <c r="BP104" s="847"/>
      <c r="BQ104" s="847"/>
      <c r="BR104" s="847"/>
      <c r="BS104" s="847"/>
      <c r="BT104" s="865"/>
      <c r="BU104" s="860"/>
      <c r="BV104" s="586"/>
      <c r="BW104" s="586"/>
      <c r="BX104" s="587"/>
      <c r="BY104" s="587"/>
      <c r="BZ104" s="640"/>
      <c r="CA104" s="588"/>
      <c r="CB104" s="588"/>
      <c r="CC104" s="589"/>
      <c r="CD104" s="589"/>
      <c r="CE104" s="589"/>
      <c r="CF104" s="561"/>
      <c r="CG104" s="561"/>
      <c r="CH104" s="561"/>
      <c r="CI104" s="561"/>
      <c r="CJ104" s="554"/>
      <c r="CK104" s="554"/>
      <c r="CL104" s="554"/>
      <c r="CM104" s="554"/>
      <c r="CN104" s="554"/>
      <c r="CO104" s="554"/>
      <c r="CP104" s="554"/>
      <c r="CQ104" s="554"/>
      <c r="CR104" s="556"/>
      <c r="CS104" s="556"/>
      <c r="CT104" s="554"/>
      <c r="CU104" s="554"/>
      <c r="CV104" s="554"/>
      <c r="CW104" s="565"/>
      <c r="CX104" s="565"/>
      <c r="CY104" s="565"/>
      <c r="CZ104" s="565"/>
      <c r="DA104" s="565"/>
      <c r="DB104" s="565"/>
      <c r="DC104" s="565"/>
      <c r="DD104" s="565"/>
      <c r="DE104" s="565"/>
      <c r="DF104" s="565"/>
      <c r="DG104" s="870"/>
      <c r="DH104" s="870"/>
      <c r="DI104" s="870"/>
      <c r="DJ104" s="565"/>
      <c r="DK104" s="565"/>
      <c r="DL104" s="565"/>
      <c r="DM104" s="565"/>
      <c r="DN104" s="565"/>
      <c r="DO104" s="565"/>
      <c r="DP104" s="565"/>
    </row>
    <row r="105" spans="1:120" s="156" customFormat="1" ht="15.75">
      <c r="A105" s="565"/>
      <c r="B105" s="829"/>
      <c r="C105" s="881"/>
      <c r="D105" s="867"/>
      <c r="E105" s="831"/>
      <c r="F105" s="842"/>
      <c r="G105" s="842"/>
      <c r="H105" s="843"/>
      <c r="I105" s="844"/>
      <c r="J105" s="843"/>
      <c r="K105" s="843"/>
      <c r="L105" s="843"/>
      <c r="M105" s="844"/>
      <c r="N105" s="843"/>
      <c r="O105" s="843"/>
      <c r="P105" s="835"/>
      <c r="Q105" s="835"/>
      <c r="R105" s="836">
        <f>IF(B105="",0,VLOOKUP(B105,[10]résultats!AX:DH,63,FALSE))</f>
        <v>0</v>
      </c>
      <c r="S105" s="868"/>
      <c r="T105" s="867"/>
      <c r="U105" s="867"/>
      <c r="V105" s="867"/>
      <c r="W105" s="867"/>
      <c r="X105" s="869"/>
      <c r="Y105" s="867"/>
      <c r="Z105" s="864"/>
      <c r="AA105" s="863"/>
      <c r="AB105" s="169"/>
      <c r="AC105" s="169"/>
      <c r="AD105" s="168"/>
      <c r="AE105" s="169"/>
      <c r="AF105" s="169"/>
      <c r="AG105" s="168"/>
      <c r="AH105" s="169"/>
      <c r="AI105" s="169"/>
      <c r="AJ105" s="169"/>
      <c r="AK105" s="169"/>
      <c r="AL105" s="799"/>
      <c r="AM105" s="847"/>
      <c r="AN105" s="847"/>
      <c r="AO105" s="847"/>
      <c r="AP105" s="847"/>
      <c r="AQ105" s="847"/>
      <c r="AR105" s="847"/>
      <c r="AS105" s="847"/>
      <c r="AT105" s="847"/>
      <c r="AU105" s="847"/>
      <c r="AV105" s="847"/>
      <c r="AW105" s="847"/>
      <c r="AX105" s="847"/>
      <c r="AY105" s="847"/>
      <c r="AZ105" s="847"/>
      <c r="BA105" s="847"/>
      <c r="BB105" s="847"/>
      <c r="BC105" s="847"/>
      <c r="BD105" s="847"/>
      <c r="BE105" s="847"/>
      <c r="BF105" s="847"/>
      <c r="BG105" s="847"/>
      <c r="BH105" s="847"/>
      <c r="BI105" s="847"/>
      <c r="BJ105" s="847"/>
      <c r="BK105" s="847"/>
      <c r="BL105" s="847"/>
      <c r="BM105" s="847"/>
      <c r="BN105" s="847"/>
      <c r="BO105" s="847"/>
      <c r="BP105" s="847"/>
      <c r="BQ105" s="847"/>
      <c r="BR105" s="847"/>
      <c r="BS105" s="847"/>
      <c r="BT105" s="865"/>
      <c r="BU105" s="860"/>
      <c r="BV105" s="586"/>
      <c r="BW105" s="586"/>
      <c r="BX105" s="587"/>
      <c r="BY105" s="587"/>
      <c r="BZ105" s="640"/>
      <c r="CA105" s="588"/>
      <c r="CB105" s="588"/>
      <c r="CC105" s="589"/>
      <c r="CD105" s="589"/>
      <c r="CE105" s="589"/>
      <c r="CF105" s="561"/>
      <c r="CG105" s="561"/>
      <c r="CH105" s="561"/>
      <c r="CI105" s="561"/>
      <c r="CJ105" s="554"/>
      <c r="CK105" s="554"/>
      <c r="CL105" s="554"/>
      <c r="CM105" s="554"/>
      <c r="CN105" s="554"/>
      <c r="CO105" s="554"/>
      <c r="CP105" s="554"/>
      <c r="CQ105" s="554"/>
      <c r="CR105" s="556"/>
      <c r="CS105" s="556"/>
      <c r="CT105" s="554"/>
      <c r="CU105" s="554"/>
      <c r="CV105" s="554"/>
      <c r="CW105" s="565"/>
      <c r="CX105" s="565"/>
      <c r="CY105" s="565"/>
      <c r="CZ105" s="565"/>
      <c r="DA105" s="565"/>
      <c r="DB105" s="565"/>
      <c r="DC105" s="565"/>
      <c r="DD105" s="565"/>
      <c r="DE105" s="565"/>
      <c r="DF105" s="565"/>
      <c r="DG105" s="870"/>
      <c r="DH105" s="870"/>
      <c r="DI105" s="870"/>
      <c r="DJ105" s="565"/>
      <c r="DK105" s="565"/>
      <c r="DL105" s="565"/>
      <c r="DM105" s="565"/>
      <c r="DN105" s="565"/>
      <c r="DO105" s="565"/>
      <c r="DP105" s="565"/>
    </row>
    <row r="106" spans="1:120" s="156" customFormat="1" ht="15.75">
      <c r="A106" s="565"/>
      <c r="B106" s="829"/>
      <c r="C106" s="881"/>
      <c r="D106" s="867"/>
      <c r="E106" s="831"/>
      <c r="F106" s="842"/>
      <c r="G106" s="842"/>
      <c r="H106" s="843"/>
      <c r="I106" s="844"/>
      <c r="J106" s="843"/>
      <c r="K106" s="843"/>
      <c r="L106" s="843"/>
      <c r="M106" s="844"/>
      <c r="N106" s="843"/>
      <c r="O106" s="843"/>
      <c r="P106" s="835"/>
      <c r="Q106" s="835"/>
      <c r="R106" s="836">
        <f>IF(B106="",0,VLOOKUP(B106,[10]résultats!AX:DH,63,FALSE))</f>
        <v>0</v>
      </c>
      <c r="S106" s="868"/>
      <c r="T106" s="867"/>
      <c r="U106" s="867"/>
      <c r="V106" s="867"/>
      <c r="W106" s="867"/>
      <c r="X106" s="869"/>
      <c r="Y106" s="867"/>
      <c r="Z106" s="864"/>
      <c r="AA106" s="863"/>
      <c r="AB106" s="169"/>
      <c r="AC106" s="169"/>
      <c r="AD106" s="168"/>
      <c r="AE106" s="169"/>
      <c r="AF106" s="169"/>
      <c r="AG106" s="168"/>
      <c r="AH106" s="169"/>
      <c r="AI106" s="169"/>
      <c r="AJ106" s="169"/>
      <c r="AK106" s="169"/>
      <c r="AL106" s="799"/>
      <c r="AM106" s="847"/>
      <c r="AN106" s="847"/>
      <c r="AO106" s="847"/>
      <c r="AP106" s="847"/>
      <c r="AQ106" s="847"/>
      <c r="AR106" s="847"/>
      <c r="AS106" s="847"/>
      <c r="AT106" s="847"/>
      <c r="AU106" s="847"/>
      <c r="AV106" s="847"/>
      <c r="AW106" s="847"/>
      <c r="AX106" s="847"/>
      <c r="AY106" s="847"/>
      <c r="AZ106" s="847"/>
      <c r="BA106" s="847"/>
      <c r="BB106" s="847"/>
      <c r="BC106" s="847"/>
      <c r="BD106" s="847"/>
      <c r="BE106" s="847"/>
      <c r="BF106" s="847"/>
      <c r="BG106" s="847"/>
      <c r="BH106" s="847"/>
      <c r="BI106" s="847"/>
      <c r="BJ106" s="847"/>
      <c r="BK106" s="847"/>
      <c r="BL106" s="847"/>
      <c r="BM106" s="847"/>
      <c r="BN106" s="847"/>
      <c r="BO106" s="847"/>
      <c r="BP106" s="847"/>
      <c r="BQ106" s="847"/>
      <c r="BR106" s="847"/>
      <c r="BS106" s="847"/>
      <c r="BT106" s="865"/>
      <c r="BU106" s="860"/>
      <c r="BV106" s="586"/>
      <c r="BW106" s="586"/>
      <c r="BX106" s="587"/>
      <c r="BY106" s="587"/>
      <c r="BZ106" s="640"/>
      <c r="CA106" s="588"/>
      <c r="CB106" s="588"/>
      <c r="CC106" s="589"/>
      <c r="CD106" s="589"/>
      <c r="CE106" s="589"/>
      <c r="CF106" s="561"/>
      <c r="CG106" s="561"/>
      <c r="CH106" s="561"/>
      <c r="CI106" s="561"/>
      <c r="CJ106" s="554"/>
      <c r="CK106" s="554"/>
      <c r="CL106" s="554"/>
      <c r="CM106" s="554"/>
      <c r="CN106" s="554"/>
      <c r="CO106" s="554"/>
      <c r="CP106" s="554"/>
      <c r="CQ106" s="554"/>
      <c r="CR106" s="556"/>
      <c r="CS106" s="556"/>
      <c r="CT106" s="554"/>
      <c r="CU106" s="554"/>
      <c r="CV106" s="554"/>
      <c r="CW106" s="565"/>
      <c r="CX106" s="565"/>
      <c r="CY106" s="565"/>
      <c r="CZ106" s="565"/>
      <c r="DA106" s="565"/>
      <c r="DB106" s="565"/>
      <c r="DC106" s="565"/>
      <c r="DD106" s="565"/>
      <c r="DE106" s="565"/>
      <c r="DF106" s="565"/>
      <c r="DG106" s="870"/>
      <c r="DH106" s="870"/>
      <c r="DI106" s="870"/>
      <c r="DJ106" s="565"/>
      <c r="DK106" s="565"/>
      <c r="DL106" s="565"/>
      <c r="DM106" s="565"/>
      <c r="DN106" s="565"/>
      <c r="DO106" s="565"/>
      <c r="DP106" s="565"/>
    </row>
    <row r="107" spans="1:120" s="156" customFormat="1" ht="15.75">
      <c r="A107" s="565"/>
      <c r="B107" s="829"/>
      <c r="C107" s="881"/>
      <c r="D107" s="867"/>
      <c r="E107" s="831"/>
      <c r="F107" s="842"/>
      <c r="G107" s="842"/>
      <c r="H107" s="843"/>
      <c r="I107" s="844"/>
      <c r="J107" s="843"/>
      <c r="K107" s="843"/>
      <c r="L107" s="843"/>
      <c r="M107" s="844"/>
      <c r="N107" s="843"/>
      <c r="O107" s="843"/>
      <c r="P107" s="835"/>
      <c r="Q107" s="835"/>
      <c r="R107" s="836">
        <f>IF(B107="",0,VLOOKUP(B107,[10]résultats!AX:DH,63,FALSE))</f>
        <v>0</v>
      </c>
      <c r="S107" s="868"/>
      <c r="T107" s="867"/>
      <c r="U107" s="867"/>
      <c r="V107" s="867"/>
      <c r="W107" s="867"/>
      <c r="X107" s="869"/>
      <c r="Y107" s="867"/>
      <c r="Z107" s="864"/>
      <c r="AA107" s="863"/>
      <c r="AB107" s="169"/>
      <c r="AC107" s="169"/>
      <c r="AD107" s="168"/>
      <c r="AE107" s="169"/>
      <c r="AF107" s="169"/>
      <c r="AG107" s="168"/>
      <c r="AH107" s="169"/>
      <c r="AI107" s="169"/>
      <c r="AJ107" s="169"/>
      <c r="AK107" s="169"/>
      <c r="AL107" s="799"/>
      <c r="AM107" s="847"/>
      <c r="AN107" s="847"/>
      <c r="AO107" s="847"/>
      <c r="AP107" s="847"/>
      <c r="AQ107" s="847"/>
      <c r="AR107" s="847"/>
      <c r="AS107" s="847"/>
      <c r="AT107" s="847"/>
      <c r="AU107" s="847"/>
      <c r="AV107" s="847"/>
      <c r="AW107" s="847"/>
      <c r="AX107" s="847"/>
      <c r="AY107" s="847"/>
      <c r="AZ107" s="847"/>
      <c r="BA107" s="847"/>
      <c r="BB107" s="847"/>
      <c r="BC107" s="847"/>
      <c r="BD107" s="847"/>
      <c r="BE107" s="847"/>
      <c r="BF107" s="847"/>
      <c r="BG107" s="847"/>
      <c r="BH107" s="847"/>
      <c r="BI107" s="847"/>
      <c r="BJ107" s="847"/>
      <c r="BK107" s="847"/>
      <c r="BL107" s="847"/>
      <c r="BM107" s="847"/>
      <c r="BN107" s="847"/>
      <c r="BO107" s="847"/>
      <c r="BP107" s="847"/>
      <c r="BQ107" s="847"/>
      <c r="BR107" s="847"/>
      <c r="BS107" s="847"/>
      <c r="BT107" s="865"/>
      <c r="BU107" s="860"/>
      <c r="BV107" s="586"/>
      <c r="BW107" s="586"/>
      <c r="BX107" s="587"/>
      <c r="BY107" s="587"/>
      <c r="BZ107" s="640"/>
      <c r="CA107" s="588"/>
      <c r="CB107" s="588"/>
      <c r="CC107" s="589"/>
      <c r="CD107" s="589"/>
      <c r="CE107" s="589"/>
      <c r="CF107" s="561"/>
      <c r="CG107" s="561"/>
      <c r="CH107" s="561"/>
      <c r="CI107" s="561"/>
      <c r="CJ107" s="554"/>
      <c r="CK107" s="554"/>
      <c r="CL107" s="554"/>
      <c r="CM107" s="554"/>
      <c r="CN107" s="554"/>
      <c r="CO107" s="554"/>
      <c r="CP107" s="554"/>
      <c r="CQ107" s="554"/>
      <c r="CR107" s="556"/>
      <c r="CS107" s="556"/>
      <c r="CT107" s="554"/>
      <c r="CU107" s="554"/>
      <c r="CV107" s="554"/>
      <c r="CW107" s="565"/>
      <c r="CX107" s="565"/>
      <c r="CY107" s="565"/>
      <c r="CZ107" s="565"/>
      <c r="DA107" s="565"/>
      <c r="DB107" s="565"/>
      <c r="DC107" s="565"/>
      <c r="DD107" s="565"/>
      <c r="DE107" s="565"/>
      <c r="DF107" s="565"/>
      <c r="DG107" s="870"/>
      <c r="DH107" s="870"/>
      <c r="DI107" s="870"/>
      <c r="DJ107" s="565"/>
      <c r="DK107" s="565"/>
      <c r="DL107" s="565"/>
      <c r="DM107" s="565"/>
      <c r="DN107" s="565"/>
      <c r="DO107" s="565"/>
      <c r="DP107" s="565"/>
    </row>
    <row r="108" spans="1:120" s="156" customFormat="1" ht="15.75">
      <c r="A108" s="565"/>
      <c r="B108" s="829"/>
      <c r="C108" s="881"/>
      <c r="D108" s="867"/>
      <c r="E108" s="831"/>
      <c r="F108" s="842"/>
      <c r="G108" s="842"/>
      <c r="H108" s="843"/>
      <c r="I108" s="844"/>
      <c r="J108" s="843"/>
      <c r="K108" s="843"/>
      <c r="L108" s="843"/>
      <c r="M108" s="844"/>
      <c r="N108" s="843"/>
      <c r="O108" s="843"/>
      <c r="P108" s="835"/>
      <c r="Q108" s="835"/>
      <c r="R108" s="836">
        <f>IF(B108="",0,VLOOKUP(B108,[10]résultats!AX:DH,63,FALSE))</f>
        <v>0</v>
      </c>
      <c r="S108" s="868"/>
      <c r="T108" s="867"/>
      <c r="U108" s="867"/>
      <c r="V108" s="867"/>
      <c r="W108" s="867"/>
      <c r="X108" s="869"/>
      <c r="Y108" s="867"/>
      <c r="Z108" s="864"/>
      <c r="AA108" s="863"/>
      <c r="AB108" s="169"/>
      <c r="AC108" s="169"/>
      <c r="AD108" s="168"/>
      <c r="AE108" s="169"/>
      <c r="AF108" s="169"/>
      <c r="AG108" s="168"/>
      <c r="AH108" s="169"/>
      <c r="AI108" s="169"/>
      <c r="AJ108" s="169"/>
      <c r="AK108" s="169"/>
      <c r="AL108" s="799"/>
      <c r="AM108" s="847"/>
      <c r="AN108" s="847"/>
      <c r="AO108" s="847"/>
      <c r="AP108" s="847"/>
      <c r="AQ108" s="847"/>
      <c r="AR108" s="847"/>
      <c r="AS108" s="847"/>
      <c r="AT108" s="847"/>
      <c r="AU108" s="847"/>
      <c r="AV108" s="847"/>
      <c r="AW108" s="847"/>
      <c r="AX108" s="847"/>
      <c r="AY108" s="847"/>
      <c r="AZ108" s="847"/>
      <c r="BA108" s="847"/>
      <c r="BB108" s="847"/>
      <c r="BC108" s="847"/>
      <c r="BD108" s="847"/>
      <c r="BE108" s="847"/>
      <c r="BF108" s="847"/>
      <c r="BG108" s="847"/>
      <c r="BH108" s="847"/>
      <c r="BI108" s="847"/>
      <c r="BJ108" s="847"/>
      <c r="BK108" s="847"/>
      <c r="BL108" s="847"/>
      <c r="BM108" s="847"/>
      <c r="BN108" s="847"/>
      <c r="BO108" s="847"/>
      <c r="BP108" s="847"/>
      <c r="BQ108" s="847"/>
      <c r="BR108" s="847"/>
      <c r="BS108" s="847"/>
      <c r="BT108" s="865"/>
      <c r="BU108" s="860"/>
      <c r="BV108" s="586"/>
      <c r="BW108" s="586"/>
      <c r="BX108" s="587"/>
      <c r="BY108" s="587"/>
      <c r="BZ108" s="640"/>
      <c r="CA108" s="588"/>
      <c r="CB108" s="588"/>
      <c r="CC108" s="589"/>
      <c r="CD108" s="589"/>
      <c r="CE108" s="589"/>
      <c r="CF108" s="561"/>
      <c r="CG108" s="561"/>
      <c r="CH108" s="561"/>
      <c r="CI108" s="561"/>
      <c r="CJ108" s="554"/>
      <c r="CK108" s="554"/>
      <c r="CL108" s="554"/>
      <c r="CM108" s="554"/>
      <c r="CN108" s="554"/>
      <c r="CO108" s="554"/>
      <c r="CP108" s="554"/>
      <c r="CQ108" s="554"/>
      <c r="CR108" s="556"/>
      <c r="CS108" s="556"/>
      <c r="CT108" s="554"/>
      <c r="CU108" s="554"/>
      <c r="CV108" s="554"/>
      <c r="CW108" s="565"/>
      <c r="CX108" s="565"/>
      <c r="CY108" s="565"/>
      <c r="CZ108" s="565"/>
      <c r="DA108" s="565"/>
      <c r="DB108" s="565"/>
      <c r="DC108" s="565"/>
      <c r="DD108" s="565"/>
      <c r="DE108" s="565"/>
      <c r="DF108" s="565"/>
      <c r="DG108" s="870"/>
      <c r="DH108" s="870"/>
      <c r="DI108" s="870"/>
      <c r="DJ108" s="565"/>
      <c r="DK108" s="565"/>
      <c r="DL108" s="565"/>
      <c r="DM108" s="565"/>
      <c r="DN108" s="565"/>
      <c r="DO108" s="565"/>
      <c r="DP108" s="565"/>
    </row>
    <row r="109" spans="1:120" s="156" customFormat="1" ht="15.75">
      <c r="A109" s="565"/>
      <c r="B109" s="829"/>
      <c r="C109" s="881"/>
      <c r="D109" s="867"/>
      <c r="E109" s="831"/>
      <c r="F109" s="842"/>
      <c r="G109" s="842"/>
      <c r="H109" s="843"/>
      <c r="I109" s="844"/>
      <c r="J109" s="843"/>
      <c r="K109" s="843"/>
      <c r="L109" s="843"/>
      <c r="M109" s="844"/>
      <c r="N109" s="843"/>
      <c r="O109" s="843"/>
      <c r="P109" s="835"/>
      <c r="Q109" s="835"/>
      <c r="R109" s="836">
        <f>IF(B109="",0,VLOOKUP(B109,[10]résultats!AX:DH,63,FALSE))</f>
        <v>0</v>
      </c>
      <c r="S109" s="868"/>
      <c r="T109" s="867"/>
      <c r="U109" s="867"/>
      <c r="V109" s="867"/>
      <c r="W109" s="867"/>
      <c r="X109" s="869"/>
      <c r="Y109" s="867"/>
      <c r="Z109" s="864"/>
      <c r="AA109" s="883"/>
      <c r="AB109" s="169"/>
      <c r="AC109" s="169"/>
      <c r="AD109" s="168"/>
      <c r="AE109" s="169"/>
      <c r="AF109" s="169"/>
      <c r="AG109" s="168"/>
      <c r="AH109" s="169"/>
      <c r="AI109" s="169"/>
      <c r="AJ109" s="169"/>
      <c r="AK109" s="169"/>
      <c r="AL109" s="799"/>
      <c r="AM109" s="847"/>
      <c r="AN109" s="847"/>
      <c r="AO109" s="847"/>
      <c r="AP109" s="847"/>
      <c r="AQ109" s="847"/>
      <c r="AR109" s="847"/>
      <c r="AS109" s="847"/>
      <c r="AT109" s="847"/>
      <c r="AU109" s="847"/>
      <c r="AV109" s="847"/>
      <c r="AW109" s="847"/>
      <c r="AX109" s="847"/>
      <c r="AY109" s="847"/>
      <c r="AZ109" s="847"/>
      <c r="BA109" s="847"/>
      <c r="BB109" s="847"/>
      <c r="BC109" s="847"/>
      <c r="BD109" s="847"/>
      <c r="BE109" s="847"/>
      <c r="BF109" s="847"/>
      <c r="BG109" s="847"/>
      <c r="BH109" s="847"/>
      <c r="BI109" s="847"/>
      <c r="BJ109" s="847"/>
      <c r="BK109" s="847"/>
      <c r="BL109" s="847"/>
      <c r="BM109" s="847"/>
      <c r="BN109" s="847"/>
      <c r="BO109" s="847"/>
      <c r="BP109" s="847"/>
      <c r="BQ109" s="847"/>
      <c r="BR109" s="847"/>
      <c r="BS109" s="847"/>
      <c r="BT109" s="865"/>
      <c r="BU109" s="860"/>
      <c r="BV109" s="586"/>
      <c r="BW109" s="586"/>
      <c r="BX109" s="587"/>
      <c r="BY109" s="587"/>
      <c r="BZ109" s="640"/>
      <c r="CA109" s="588"/>
      <c r="CB109" s="588"/>
      <c r="CC109" s="589"/>
      <c r="CD109" s="589"/>
      <c r="CE109" s="589"/>
      <c r="CF109" s="561"/>
      <c r="CG109" s="561"/>
      <c r="CH109" s="561"/>
      <c r="CI109" s="561"/>
      <c r="CJ109" s="554"/>
      <c r="CK109" s="554"/>
      <c r="CL109" s="554"/>
      <c r="CM109" s="554"/>
      <c r="CN109" s="554"/>
      <c r="CO109" s="554"/>
      <c r="CP109" s="554"/>
      <c r="CQ109" s="554"/>
      <c r="CR109" s="556"/>
      <c r="CS109" s="556"/>
      <c r="CT109" s="554"/>
      <c r="CU109" s="554"/>
      <c r="CV109" s="554"/>
      <c r="CW109" s="565"/>
      <c r="CX109" s="565"/>
      <c r="CY109" s="565"/>
      <c r="CZ109" s="565"/>
      <c r="DA109" s="565"/>
      <c r="DB109" s="565"/>
      <c r="DC109" s="565"/>
      <c r="DD109" s="565"/>
      <c r="DE109" s="565"/>
      <c r="DF109" s="565"/>
      <c r="DG109" s="870"/>
      <c r="DH109" s="870"/>
      <c r="DI109" s="870"/>
      <c r="DJ109" s="565"/>
      <c r="DK109" s="565"/>
      <c r="DL109" s="565"/>
      <c r="DM109" s="565"/>
      <c r="DN109" s="565"/>
      <c r="DO109" s="565"/>
      <c r="DP109" s="565"/>
    </row>
    <row r="110" spans="1:120" s="156" customFormat="1" ht="15.75">
      <c r="A110" s="565"/>
      <c r="B110" s="849"/>
      <c r="C110" s="867"/>
      <c r="D110" s="867"/>
      <c r="E110" s="851"/>
      <c r="F110" s="852"/>
      <c r="G110" s="852"/>
      <c r="H110" s="853"/>
      <c r="I110" s="854"/>
      <c r="J110" s="853"/>
      <c r="K110" s="853"/>
      <c r="L110" s="853"/>
      <c r="M110" s="854"/>
      <c r="N110" s="853"/>
      <c r="O110" s="853"/>
      <c r="P110" s="855"/>
      <c r="Q110" s="855"/>
      <c r="R110" s="836">
        <f>IF(B110="",0,VLOOKUP(B110,[10]résultats!AX:DH,63,FALSE))</f>
        <v>0</v>
      </c>
      <c r="S110" s="868"/>
      <c r="T110" s="867"/>
      <c r="U110" s="867"/>
      <c r="V110" s="867"/>
      <c r="W110" s="867"/>
      <c r="X110" s="869"/>
      <c r="Y110" s="867"/>
      <c r="Z110" s="864"/>
      <c r="AA110" s="883"/>
      <c r="AB110" s="169"/>
      <c r="AC110" s="169"/>
      <c r="AD110" s="168"/>
      <c r="AE110" s="169"/>
      <c r="AF110" s="169"/>
      <c r="AG110" s="168"/>
      <c r="AH110" s="169"/>
      <c r="AI110" s="169"/>
      <c r="AJ110" s="169"/>
      <c r="AK110" s="169"/>
      <c r="AL110" s="799"/>
      <c r="AM110" s="847"/>
      <c r="AN110" s="847"/>
      <c r="AO110" s="847"/>
      <c r="AP110" s="847"/>
      <c r="AQ110" s="847"/>
      <c r="AR110" s="847"/>
      <c r="AS110" s="847"/>
      <c r="AT110" s="847"/>
      <c r="AU110" s="847"/>
      <c r="AV110" s="847"/>
      <c r="AW110" s="847"/>
      <c r="AX110" s="847"/>
      <c r="AY110" s="847"/>
      <c r="AZ110" s="847"/>
      <c r="BA110" s="847"/>
      <c r="BB110" s="847"/>
      <c r="BC110" s="847"/>
      <c r="BD110" s="847"/>
      <c r="BE110" s="847"/>
      <c r="BF110" s="847"/>
      <c r="BG110" s="847"/>
      <c r="BH110" s="847"/>
      <c r="BI110" s="847"/>
      <c r="BJ110" s="847"/>
      <c r="BK110" s="847"/>
      <c r="BL110" s="847"/>
      <c r="BM110" s="847"/>
      <c r="BN110" s="847"/>
      <c r="BO110" s="847"/>
      <c r="BP110" s="847"/>
      <c r="BQ110" s="847"/>
      <c r="BR110" s="847"/>
      <c r="BS110" s="847"/>
      <c r="BT110" s="865"/>
      <c r="BU110" s="860"/>
      <c r="BV110" s="586"/>
      <c r="BW110" s="586"/>
      <c r="BX110" s="587"/>
      <c r="BY110" s="587"/>
      <c r="BZ110" s="640"/>
      <c r="CA110" s="588"/>
      <c r="CB110" s="588"/>
      <c r="CC110" s="589"/>
      <c r="CD110" s="589"/>
      <c r="CE110" s="589"/>
      <c r="CF110" s="561"/>
      <c r="CG110" s="561"/>
      <c r="CH110" s="561"/>
      <c r="CI110" s="561"/>
      <c r="CJ110" s="554"/>
      <c r="CK110" s="554"/>
      <c r="CL110" s="554"/>
      <c r="CR110" s="167"/>
      <c r="CS110" s="167"/>
      <c r="CW110" s="565"/>
      <c r="CX110" s="565"/>
      <c r="CY110" s="565"/>
      <c r="CZ110" s="565"/>
      <c r="DA110" s="565"/>
      <c r="DB110" s="565"/>
      <c r="DC110" s="565"/>
      <c r="DD110" s="565"/>
      <c r="DE110" s="565"/>
      <c r="DF110" s="565"/>
      <c r="DG110" s="870"/>
      <c r="DH110" s="870"/>
      <c r="DI110" s="870"/>
      <c r="DJ110" s="565"/>
      <c r="DK110" s="565"/>
      <c r="DL110" s="565"/>
      <c r="DM110" s="565"/>
      <c r="DN110" s="565"/>
      <c r="DO110" s="565"/>
      <c r="DP110" s="565"/>
    </row>
    <row r="111" spans="1:120" ht="15.75">
      <c r="B111" s="849"/>
      <c r="C111" s="867"/>
      <c r="D111" s="867"/>
      <c r="E111" s="851"/>
      <c r="F111" s="852"/>
      <c r="G111" s="852"/>
      <c r="H111" s="853"/>
      <c r="I111" s="854"/>
      <c r="J111" s="853"/>
      <c r="K111" s="853"/>
      <c r="L111" s="853"/>
      <c r="M111" s="854"/>
      <c r="N111" s="853"/>
      <c r="O111" s="853"/>
      <c r="P111" s="855"/>
      <c r="Q111" s="855"/>
      <c r="R111" s="836">
        <f>IF(B111="",0,VLOOKUP(B111,[10]résultats!AX:DH,63,FALSE))</f>
        <v>0</v>
      </c>
      <c r="S111" s="868"/>
      <c r="T111" s="867"/>
      <c r="U111" s="867"/>
      <c r="V111" s="867"/>
      <c r="W111" s="867"/>
      <c r="X111" s="869"/>
      <c r="Y111" s="867"/>
      <c r="Z111" s="864"/>
      <c r="AA111" s="883"/>
      <c r="AB111" s="169"/>
      <c r="AC111" s="169"/>
      <c r="AD111" s="168"/>
      <c r="AE111" s="169"/>
      <c r="AF111" s="169"/>
      <c r="AG111" s="168"/>
      <c r="AH111" s="169"/>
      <c r="AI111" s="169"/>
      <c r="AL111" s="799"/>
      <c r="AM111" s="847"/>
      <c r="AN111" s="847"/>
      <c r="AO111" s="847"/>
      <c r="AP111" s="847"/>
      <c r="AQ111" s="847"/>
      <c r="AR111" s="847"/>
      <c r="AS111" s="847"/>
      <c r="AT111" s="847"/>
      <c r="AU111" s="847"/>
      <c r="AV111" s="847"/>
      <c r="AW111" s="847"/>
      <c r="AX111" s="847"/>
      <c r="AY111" s="847"/>
      <c r="AZ111" s="847"/>
      <c r="BA111" s="847"/>
      <c r="BB111" s="847"/>
      <c r="BC111" s="847"/>
      <c r="BD111" s="847"/>
      <c r="BE111" s="847"/>
      <c r="BF111" s="847"/>
      <c r="BG111" s="847"/>
      <c r="BH111" s="847"/>
      <c r="BI111" s="847"/>
      <c r="BJ111" s="847"/>
      <c r="BK111" s="847"/>
      <c r="BL111" s="847"/>
      <c r="BM111" s="847"/>
      <c r="BN111" s="847"/>
      <c r="BO111" s="847"/>
      <c r="BP111" s="847"/>
      <c r="BQ111" s="847"/>
      <c r="BR111" s="847"/>
      <c r="BS111" s="847"/>
      <c r="BT111" s="865"/>
      <c r="BU111" s="860"/>
      <c r="BV111" s="586"/>
      <c r="BZ111" s="640"/>
      <c r="CA111" s="588"/>
      <c r="CB111" s="588"/>
      <c r="CC111" s="589"/>
      <c r="CD111" s="589"/>
      <c r="CE111" s="589"/>
      <c r="CF111" s="561"/>
      <c r="CG111" s="561"/>
      <c r="CH111" s="561"/>
      <c r="CI111" s="561"/>
      <c r="CJ111" s="554"/>
      <c r="CK111" s="554"/>
      <c r="CL111" s="554"/>
      <c r="CM111" s="156"/>
      <c r="CN111" s="156"/>
      <c r="CO111" s="156"/>
      <c r="CP111" s="156"/>
      <c r="CQ111" s="156"/>
      <c r="CR111" s="167"/>
      <c r="CS111" s="167"/>
      <c r="CT111" s="156"/>
      <c r="CU111" s="156"/>
      <c r="CV111" s="156"/>
      <c r="DG111" s="870"/>
      <c r="DH111" s="870"/>
      <c r="DI111" s="870"/>
    </row>
    <row r="112" spans="1:120" ht="15.75">
      <c r="B112" s="849"/>
      <c r="C112" s="867"/>
      <c r="D112" s="867"/>
      <c r="E112" s="851"/>
      <c r="F112" s="852"/>
      <c r="G112" s="852"/>
      <c r="H112" s="853"/>
      <c r="I112" s="854"/>
      <c r="J112" s="853"/>
      <c r="K112" s="853"/>
      <c r="L112" s="853"/>
      <c r="M112" s="854"/>
      <c r="N112" s="853"/>
      <c r="O112" s="853"/>
      <c r="P112" s="855"/>
      <c r="Q112" s="855"/>
      <c r="R112" s="836">
        <f>IF(B112="",0,VLOOKUP(B112,[10]résultats!AX:DH,63,FALSE))</f>
        <v>0</v>
      </c>
      <c r="S112" s="868"/>
      <c r="T112" s="867"/>
      <c r="U112" s="867"/>
      <c r="V112" s="867"/>
      <c r="W112" s="867"/>
      <c r="X112" s="869"/>
      <c r="Y112" s="867"/>
      <c r="Z112" s="864"/>
      <c r="AA112" s="884"/>
      <c r="AB112" s="169"/>
      <c r="AC112" s="169"/>
      <c r="AD112" s="168"/>
      <c r="AE112" s="169"/>
      <c r="AF112" s="169"/>
      <c r="AG112" s="169"/>
      <c r="AH112" s="169"/>
      <c r="AI112" s="168"/>
      <c r="CB112" s="640"/>
      <c r="CC112" s="588"/>
      <c r="CD112" s="588"/>
      <c r="CE112" s="589"/>
      <c r="CF112" s="589"/>
      <c r="CG112" s="589"/>
      <c r="CH112" s="561"/>
      <c r="CI112" s="561"/>
      <c r="CJ112" s="554"/>
      <c r="CK112" s="554"/>
      <c r="CL112" s="554"/>
      <c r="CM112" s="156"/>
      <c r="CN112" s="156"/>
      <c r="CO112" s="156"/>
      <c r="CP112" s="156"/>
      <c r="CQ112" s="156"/>
      <c r="CR112" s="167"/>
      <c r="CS112" s="167"/>
      <c r="CT112" s="156"/>
      <c r="CU112" s="156"/>
      <c r="CV112" s="156"/>
      <c r="DG112" s="870"/>
      <c r="DH112" s="870"/>
      <c r="DI112" s="870"/>
    </row>
    <row r="113" spans="1:120" ht="15.75">
      <c r="B113" s="849"/>
      <c r="C113" s="867"/>
      <c r="D113" s="867"/>
      <c r="E113" s="851"/>
      <c r="F113" s="852"/>
      <c r="G113" s="852"/>
      <c r="H113" s="853"/>
      <c r="I113" s="854"/>
      <c r="J113" s="853"/>
      <c r="K113" s="853"/>
      <c r="L113" s="853"/>
      <c r="M113" s="854"/>
      <c r="N113" s="853"/>
      <c r="O113" s="853"/>
      <c r="P113" s="855"/>
      <c r="Q113" s="855"/>
      <c r="R113" s="836">
        <f>IF(B113="",0,VLOOKUP(B113,[10]résultats!AX:DH,63,FALSE))</f>
        <v>0</v>
      </c>
      <c r="S113" s="868"/>
      <c r="T113" s="867"/>
      <c r="U113" s="867"/>
      <c r="V113" s="867"/>
      <c r="W113" s="867"/>
      <c r="X113" s="869"/>
      <c r="Y113" s="867"/>
      <c r="Z113" s="864"/>
      <c r="AA113" s="885"/>
      <c r="AB113" s="169"/>
      <c r="AC113" s="169"/>
      <c r="AD113" s="168"/>
      <c r="AE113" s="169"/>
      <c r="AF113" s="169"/>
      <c r="AG113" s="169"/>
      <c r="AH113" s="169"/>
      <c r="AI113" s="168"/>
      <c r="CB113" s="640"/>
      <c r="CC113" s="588"/>
      <c r="CD113" s="588"/>
      <c r="CE113" s="589"/>
      <c r="CF113" s="589"/>
      <c r="CG113" s="589"/>
      <c r="CH113" s="561"/>
      <c r="CI113" s="561"/>
      <c r="CJ113" s="554"/>
      <c r="CK113" s="554"/>
      <c r="CL113" s="554"/>
      <c r="CM113" s="156"/>
      <c r="CN113" s="156"/>
      <c r="CO113" s="156"/>
      <c r="CP113" s="156"/>
      <c r="CQ113" s="156"/>
      <c r="CR113" s="167"/>
      <c r="CS113" s="167"/>
      <c r="CT113" s="156"/>
      <c r="CU113" s="156"/>
      <c r="CV113" s="156"/>
      <c r="DG113" s="870"/>
      <c r="DH113" s="870"/>
      <c r="DI113" s="870"/>
    </row>
    <row r="114" spans="1:120" ht="15.75">
      <c r="B114" s="849"/>
      <c r="C114" s="867"/>
      <c r="D114" s="867"/>
      <c r="E114" s="851"/>
      <c r="F114" s="852"/>
      <c r="G114" s="852"/>
      <c r="H114" s="853"/>
      <c r="I114" s="854"/>
      <c r="J114" s="853"/>
      <c r="K114" s="853"/>
      <c r="L114" s="853"/>
      <c r="M114" s="854"/>
      <c r="N114" s="853"/>
      <c r="O114" s="853"/>
      <c r="P114" s="855"/>
      <c r="Q114" s="855"/>
      <c r="R114" s="836">
        <f>IF(B114="",0,VLOOKUP(B114,[10]résultats!AX:DH,63,FALSE))</f>
        <v>0</v>
      </c>
      <c r="S114" s="868"/>
      <c r="T114" s="867"/>
      <c r="U114" s="867"/>
      <c r="V114" s="867"/>
      <c r="W114" s="867"/>
      <c r="X114" s="869"/>
      <c r="Y114" s="867"/>
      <c r="Z114" s="864"/>
      <c r="AA114" s="885"/>
      <c r="AB114" s="169"/>
      <c r="AC114" s="169"/>
      <c r="AD114" s="168"/>
      <c r="AE114" s="169"/>
      <c r="AF114" s="169"/>
      <c r="AG114" s="169"/>
      <c r="AH114" s="169"/>
      <c r="AI114" s="168"/>
      <c r="CB114" s="640"/>
      <c r="CC114" s="588"/>
      <c r="CD114" s="588"/>
      <c r="CE114" s="589"/>
      <c r="CF114" s="589"/>
      <c r="CG114" s="589"/>
      <c r="CH114" s="561"/>
      <c r="CI114" s="561"/>
      <c r="CJ114" s="554"/>
      <c r="CK114" s="554"/>
      <c r="CL114" s="554"/>
      <c r="CM114" s="156"/>
      <c r="CN114" s="156"/>
      <c r="CO114" s="156"/>
      <c r="CP114" s="156"/>
      <c r="CQ114" s="156"/>
      <c r="CR114" s="167"/>
      <c r="CS114" s="167"/>
      <c r="CT114" s="156"/>
      <c r="CU114" s="156"/>
      <c r="CV114" s="156"/>
      <c r="DG114" s="870"/>
      <c r="DH114" s="870"/>
      <c r="DI114" s="870"/>
    </row>
    <row r="115" spans="1:120" ht="15.75">
      <c r="B115" s="849"/>
      <c r="C115" s="867"/>
      <c r="D115" s="867"/>
      <c r="E115" s="851"/>
      <c r="F115" s="852"/>
      <c r="G115" s="852"/>
      <c r="H115" s="853"/>
      <c r="I115" s="854"/>
      <c r="J115" s="853"/>
      <c r="K115" s="853"/>
      <c r="L115" s="853"/>
      <c r="M115" s="854"/>
      <c r="N115" s="853"/>
      <c r="O115" s="853"/>
      <c r="P115" s="855"/>
      <c r="Q115" s="855"/>
      <c r="R115" s="836">
        <f>IF(B115="",0,VLOOKUP(B115,[10]résultats!AX:DH,63,FALSE))</f>
        <v>0</v>
      </c>
      <c r="S115" s="868"/>
      <c r="T115" s="867"/>
      <c r="U115" s="867"/>
      <c r="V115" s="867"/>
      <c r="W115" s="867"/>
      <c r="X115" s="869"/>
      <c r="Y115" s="867"/>
      <c r="Z115" s="864"/>
      <c r="AA115" s="885"/>
      <c r="AB115" s="169"/>
      <c r="AC115" s="169"/>
      <c r="AD115" s="168"/>
      <c r="AE115" s="169"/>
      <c r="AF115" s="169"/>
      <c r="AG115" s="169"/>
      <c r="AH115" s="169"/>
      <c r="AI115" s="168"/>
      <c r="CB115" s="640"/>
      <c r="CC115" s="588"/>
      <c r="CD115" s="588"/>
      <c r="CE115" s="589"/>
      <c r="CF115" s="589"/>
      <c r="CG115" s="589"/>
      <c r="CH115" s="561"/>
      <c r="CI115" s="561"/>
      <c r="CJ115" s="554"/>
      <c r="CK115" s="554"/>
      <c r="CL115" s="554"/>
      <c r="CM115" s="156"/>
      <c r="CN115" s="156"/>
      <c r="CO115" s="156"/>
      <c r="CP115" s="156"/>
      <c r="CQ115" s="156"/>
      <c r="CR115" s="167"/>
      <c r="CS115" s="167"/>
      <c r="CT115" s="156"/>
      <c r="CU115" s="156"/>
      <c r="CV115" s="156"/>
      <c r="DG115" s="870"/>
      <c r="DH115" s="870"/>
      <c r="DI115" s="870"/>
    </row>
    <row r="116" spans="1:120" ht="15.75">
      <c r="B116" s="849"/>
      <c r="C116" s="867"/>
      <c r="D116" s="867"/>
      <c r="E116" s="851"/>
      <c r="F116" s="852"/>
      <c r="G116" s="852"/>
      <c r="H116" s="853"/>
      <c r="I116" s="854"/>
      <c r="J116" s="853"/>
      <c r="K116" s="853"/>
      <c r="L116" s="853"/>
      <c r="M116" s="854"/>
      <c r="N116" s="853"/>
      <c r="O116" s="853"/>
      <c r="P116" s="855"/>
      <c r="Q116" s="855"/>
      <c r="R116" s="836">
        <f>IF(B116="",0,VLOOKUP(B116,[10]résultats!AX:DH,63,FALSE))</f>
        <v>0</v>
      </c>
      <c r="S116" s="868"/>
      <c r="T116" s="867"/>
      <c r="U116" s="867"/>
      <c r="V116" s="867"/>
      <c r="W116" s="867"/>
      <c r="X116" s="869"/>
      <c r="Y116" s="867"/>
      <c r="Z116" s="864"/>
      <c r="AA116" s="885"/>
      <c r="AB116" s="169"/>
      <c r="AC116" s="169"/>
      <c r="AD116" s="168"/>
      <c r="AE116" s="169"/>
      <c r="AF116" s="169"/>
      <c r="AG116" s="169"/>
      <c r="AH116" s="169"/>
      <c r="AI116" s="168"/>
      <c r="CB116" s="640"/>
      <c r="CC116" s="588"/>
      <c r="CD116" s="588"/>
      <c r="CE116" s="589"/>
      <c r="CF116" s="589"/>
      <c r="CG116" s="589"/>
      <c r="CH116" s="561"/>
      <c r="CI116" s="561"/>
      <c r="CJ116" s="554"/>
      <c r="CK116" s="554"/>
      <c r="CL116" s="554"/>
      <c r="CM116" s="156"/>
      <c r="CN116" s="156"/>
      <c r="CO116" s="156"/>
      <c r="CP116" s="156"/>
      <c r="CQ116" s="156"/>
      <c r="CR116" s="167"/>
      <c r="CS116" s="167"/>
      <c r="CT116" s="156"/>
      <c r="CU116" s="156"/>
      <c r="CV116" s="156"/>
      <c r="DG116" s="870"/>
      <c r="DH116" s="870"/>
      <c r="DI116" s="870"/>
    </row>
    <row r="117" spans="1:120" ht="15.75">
      <c r="B117" s="849"/>
      <c r="C117" s="867"/>
      <c r="D117" s="867"/>
      <c r="E117" s="851"/>
      <c r="F117" s="852"/>
      <c r="G117" s="852"/>
      <c r="H117" s="853"/>
      <c r="I117" s="854"/>
      <c r="J117" s="853"/>
      <c r="K117" s="853"/>
      <c r="L117" s="853"/>
      <c r="M117" s="854"/>
      <c r="N117" s="853"/>
      <c r="O117" s="853"/>
      <c r="P117" s="855"/>
      <c r="Q117" s="855"/>
      <c r="R117" s="836">
        <f>IF(B117="",0,VLOOKUP(B117,[10]résultats!AX:DH,63,FALSE))</f>
        <v>0</v>
      </c>
      <c r="S117" s="868"/>
      <c r="T117" s="867"/>
      <c r="U117" s="867"/>
      <c r="V117" s="867"/>
      <c r="W117" s="867"/>
      <c r="X117" s="869"/>
      <c r="Y117" s="867"/>
      <c r="Z117" s="864"/>
      <c r="AA117" s="885"/>
      <c r="AB117" s="169"/>
      <c r="AC117" s="169"/>
      <c r="AD117" s="168"/>
      <c r="AE117" s="169"/>
      <c r="AF117" s="169"/>
      <c r="AG117" s="169"/>
      <c r="AH117" s="169"/>
      <c r="AI117" s="168"/>
      <c r="CB117" s="640"/>
      <c r="CC117" s="588"/>
      <c r="CD117" s="588"/>
      <c r="CE117" s="589"/>
      <c r="CF117" s="589"/>
      <c r="CG117" s="589"/>
      <c r="CH117" s="561"/>
      <c r="CI117" s="561"/>
      <c r="CJ117" s="554"/>
      <c r="CK117" s="554"/>
      <c r="CL117" s="554"/>
      <c r="CM117" s="156"/>
      <c r="CN117" s="156"/>
      <c r="CO117" s="156"/>
      <c r="CP117" s="156"/>
      <c r="CQ117" s="156"/>
      <c r="CR117" s="167"/>
      <c r="CS117" s="167"/>
      <c r="CT117" s="156"/>
      <c r="CU117" s="156"/>
      <c r="CV117" s="156"/>
      <c r="DG117" s="870"/>
      <c r="DH117" s="870"/>
      <c r="DI117" s="870"/>
    </row>
    <row r="118" spans="1:120" ht="15.75">
      <c r="A118" s="886"/>
      <c r="B118" s="566"/>
      <c r="C118" s="886"/>
      <c r="D118" s="886"/>
      <c r="E118" s="851"/>
      <c r="F118" s="568"/>
      <c r="G118" s="568"/>
      <c r="H118" s="569"/>
      <c r="I118" s="570"/>
      <c r="J118" s="569"/>
      <c r="K118" s="569"/>
      <c r="L118" s="569"/>
      <c r="M118" s="570"/>
      <c r="N118" s="569"/>
      <c r="O118" s="569"/>
      <c r="P118" s="887"/>
      <c r="Q118" s="887"/>
      <c r="R118" s="888">
        <f>IF(B118="",0,VLOOKUP(B118,[10]résultats!AX:DH,63,FALSE))</f>
        <v>0</v>
      </c>
      <c r="S118" s="889"/>
      <c r="T118" s="886"/>
      <c r="U118" s="886"/>
      <c r="V118" s="886"/>
      <c r="W118" s="886"/>
      <c r="X118" s="890"/>
      <c r="Y118" s="886"/>
      <c r="AA118" s="891"/>
      <c r="AB118" s="873"/>
      <c r="AC118" s="873"/>
      <c r="AD118" s="892"/>
      <c r="AE118" s="873"/>
      <c r="AF118" s="873"/>
      <c r="AG118" s="873"/>
      <c r="AH118" s="873"/>
      <c r="AI118" s="892"/>
      <c r="AJ118" s="873"/>
      <c r="AK118" s="873"/>
      <c r="AL118" s="873"/>
      <c r="AM118" s="893"/>
      <c r="AN118" s="893"/>
      <c r="AO118" s="893"/>
      <c r="AP118" s="893"/>
      <c r="AQ118" s="893"/>
      <c r="AR118" s="893"/>
      <c r="AS118" s="893"/>
      <c r="AT118" s="893"/>
      <c r="AU118" s="893"/>
      <c r="AV118" s="893"/>
      <c r="AW118" s="893"/>
      <c r="AX118" s="893"/>
      <c r="AY118" s="893"/>
      <c r="AZ118" s="893"/>
      <c r="BA118" s="893"/>
      <c r="BB118" s="893"/>
      <c r="BC118" s="893"/>
      <c r="BD118" s="893"/>
      <c r="BE118" s="893"/>
      <c r="BF118" s="893"/>
      <c r="BG118" s="893"/>
      <c r="BH118" s="893"/>
      <c r="BI118" s="893"/>
      <c r="BJ118" s="893"/>
      <c r="BK118" s="893"/>
      <c r="BL118" s="893"/>
      <c r="BM118" s="893"/>
      <c r="BN118" s="893"/>
      <c r="BO118" s="893"/>
      <c r="BP118" s="893"/>
      <c r="BQ118" s="893"/>
      <c r="BR118" s="893"/>
      <c r="BS118" s="893"/>
      <c r="CB118" s="640"/>
      <c r="CC118" s="588"/>
      <c r="CD118" s="588"/>
      <c r="CE118" s="589"/>
      <c r="CF118" s="589"/>
      <c r="CG118" s="589"/>
      <c r="CH118" s="561"/>
      <c r="CI118" s="561"/>
      <c r="CJ118" s="554"/>
      <c r="CK118" s="554"/>
      <c r="CL118" s="554"/>
      <c r="CM118" s="156"/>
      <c r="CN118" s="156"/>
      <c r="CO118" s="156"/>
      <c r="CP118" s="156"/>
      <c r="CQ118" s="156"/>
      <c r="CR118" s="167"/>
      <c r="CS118" s="167"/>
      <c r="CT118" s="156"/>
      <c r="CU118" s="156"/>
      <c r="CV118" s="156"/>
      <c r="DG118" s="870"/>
      <c r="DH118" s="870"/>
      <c r="DI118" s="870"/>
    </row>
    <row r="119" spans="1:120" ht="15.75">
      <c r="A119" s="886"/>
      <c r="B119" s="566"/>
      <c r="C119" s="886"/>
      <c r="D119" s="886"/>
      <c r="E119" s="851"/>
      <c r="F119" s="568"/>
      <c r="G119" s="568"/>
      <c r="H119" s="569"/>
      <c r="I119" s="570"/>
      <c r="J119" s="569"/>
      <c r="K119" s="569"/>
      <c r="L119" s="569"/>
      <c r="M119" s="570"/>
      <c r="N119" s="569"/>
      <c r="O119" s="569"/>
      <c r="P119" s="887"/>
      <c r="Q119" s="887"/>
      <c r="R119" s="888">
        <f>IF(B119="",0,VLOOKUP(B119,[10]résultats!AX:DH,63,FALSE))</f>
        <v>0</v>
      </c>
      <c r="S119" s="889"/>
      <c r="T119" s="886"/>
      <c r="U119" s="886"/>
      <c r="V119" s="886"/>
      <c r="W119" s="886"/>
      <c r="X119" s="890"/>
      <c r="Y119" s="886"/>
      <c r="AA119" s="891"/>
      <c r="AB119" s="873"/>
      <c r="AC119" s="873"/>
      <c r="AD119" s="892"/>
      <c r="AE119" s="873"/>
      <c r="AF119" s="873"/>
      <c r="AG119" s="873"/>
      <c r="AH119" s="873"/>
      <c r="AI119" s="892"/>
      <c r="AJ119" s="873"/>
      <c r="AK119" s="873"/>
      <c r="AL119" s="873"/>
      <c r="AM119" s="893"/>
      <c r="AN119" s="893"/>
      <c r="AO119" s="893"/>
      <c r="AP119" s="893"/>
      <c r="AQ119" s="893"/>
      <c r="AR119" s="893"/>
      <c r="AS119" s="893"/>
      <c r="AT119" s="893"/>
      <c r="AU119" s="893"/>
      <c r="AV119" s="893"/>
      <c r="AW119" s="893"/>
      <c r="AX119" s="893"/>
      <c r="AY119" s="893"/>
      <c r="AZ119" s="893"/>
      <c r="BA119" s="893"/>
      <c r="BB119" s="893"/>
      <c r="BC119" s="893"/>
      <c r="BD119" s="893"/>
      <c r="BE119" s="893"/>
      <c r="BF119" s="893"/>
      <c r="BG119" s="893"/>
      <c r="BH119" s="893"/>
      <c r="BI119" s="893"/>
      <c r="BJ119" s="893"/>
      <c r="BK119" s="893"/>
      <c r="BL119" s="893"/>
      <c r="BM119" s="893"/>
      <c r="BN119" s="893"/>
      <c r="BO119" s="893"/>
      <c r="BP119" s="893"/>
      <c r="BQ119" s="893"/>
      <c r="BR119" s="893"/>
      <c r="BS119" s="893"/>
      <c r="CB119" s="640"/>
      <c r="CC119" s="588"/>
      <c r="CD119" s="588"/>
      <c r="CE119" s="589"/>
      <c r="CF119" s="589"/>
      <c r="CG119" s="589"/>
      <c r="CH119" s="561"/>
      <c r="CI119" s="561"/>
      <c r="CJ119" s="554"/>
      <c r="CK119" s="554"/>
      <c r="CL119" s="554"/>
      <c r="CM119" s="156"/>
      <c r="CN119" s="156"/>
      <c r="CO119" s="156"/>
      <c r="CP119" s="156"/>
      <c r="CQ119" s="156"/>
      <c r="CR119" s="167"/>
      <c r="CS119" s="167"/>
      <c r="CT119" s="156"/>
      <c r="CU119" s="156"/>
      <c r="CV119" s="156"/>
      <c r="DG119" s="870"/>
      <c r="DH119" s="870"/>
      <c r="DI119" s="870"/>
    </row>
    <row r="120" spans="1:120" s="916" customFormat="1">
      <c r="A120" s="894"/>
      <c r="B120" s="895"/>
      <c r="C120" s="894"/>
      <c r="D120" s="894"/>
      <c r="E120" s="831"/>
      <c r="F120" s="896"/>
      <c r="G120" s="896"/>
      <c r="H120" s="897"/>
      <c r="I120" s="898"/>
      <c r="J120" s="897"/>
      <c r="K120" s="897"/>
      <c r="L120" s="897"/>
      <c r="M120" s="898"/>
      <c r="N120" s="897"/>
      <c r="O120" s="897"/>
      <c r="P120" s="899"/>
      <c r="Q120" s="899"/>
      <c r="R120" s="900"/>
      <c r="S120" s="901"/>
      <c r="T120" s="894"/>
      <c r="U120" s="894"/>
      <c r="V120" s="894"/>
      <c r="W120" s="894"/>
      <c r="X120" s="902"/>
      <c r="Y120" s="894"/>
      <c r="Z120" s="636"/>
      <c r="AA120" s="745"/>
      <c r="AB120" s="827"/>
      <c r="AC120" s="827"/>
      <c r="AD120" s="903"/>
      <c r="AE120" s="827"/>
      <c r="AF120" s="827"/>
      <c r="AG120" s="827"/>
      <c r="AH120" s="903"/>
      <c r="AI120" s="827"/>
      <c r="AJ120" s="827"/>
      <c r="AK120" s="827"/>
      <c r="AL120" s="827"/>
      <c r="AM120" s="904"/>
      <c r="AN120" s="904"/>
      <c r="AO120" s="904"/>
      <c r="AP120" s="904"/>
      <c r="AQ120" s="904"/>
      <c r="AR120" s="904"/>
      <c r="AS120" s="904"/>
      <c r="AT120" s="904"/>
      <c r="AU120" s="904"/>
      <c r="AV120" s="904"/>
      <c r="AW120" s="904"/>
      <c r="AX120" s="904"/>
      <c r="AY120" s="904"/>
      <c r="AZ120" s="904"/>
      <c r="BA120" s="904"/>
      <c r="BB120" s="904"/>
      <c r="BC120" s="904"/>
      <c r="BD120" s="904"/>
      <c r="BE120" s="904"/>
      <c r="BF120" s="904"/>
      <c r="BG120" s="904"/>
      <c r="BH120" s="904"/>
      <c r="BI120" s="904"/>
      <c r="BJ120" s="904"/>
      <c r="BK120" s="904"/>
      <c r="BL120" s="904"/>
      <c r="BM120" s="904"/>
      <c r="BN120" s="904"/>
      <c r="BO120" s="904"/>
      <c r="BP120" s="904"/>
      <c r="BQ120" s="904"/>
      <c r="BR120" s="904"/>
      <c r="BS120" s="904"/>
      <c r="BT120" s="905"/>
      <c r="BU120" s="906"/>
      <c r="BV120" s="907"/>
      <c r="BW120" s="907"/>
      <c r="BX120" s="908"/>
      <c r="BY120" s="908"/>
      <c r="BZ120" s="908"/>
      <c r="CA120" s="908"/>
      <c r="CB120" s="909"/>
      <c r="CC120" s="909"/>
      <c r="CD120" s="910"/>
      <c r="CE120" s="910"/>
      <c r="CF120" s="910"/>
      <c r="CG120" s="911"/>
      <c r="CH120" s="911"/>
      <c r="CI120" s="911"/>
      <c r="CJ120" s="912"/>
      <c r="CK120" s="912"/>
      <c r="CL120" s="912"/>
      <c r="CM120" s="912"/>
      <c r="CN120" s="912"/>
      <c r="CO120" s="912"/>
      <c r="CP120" s="912"/>
      <c r="CQ120" s="912"/>
      <c r="CR120" s="913"/>
      <c r="CS120" s="913"/>
      <c r="CT120" s="912"/>
      <c r="CU120" s="912"/>
      <c r="CV120" s="912"/>
      <c r="CW120" s="914"/>
      <c r="CX120" s="914"/>
      <c r="CY120" s="914"/>
      <c r="CZ120" s="914"/>
      <c r="DA120" s="914"/>
      <c r="DB120" s="914"/>
      <c r="DC120" s="914"/>
      <c r="DD120" s="914"/>
      <c r="DE120" s="914"/>
      <c r="DF120" s="914"/>
      <c r="DG120" s="915"/>
      <c r="DH120" s="915"/>
      <c r="DI120" s="915"/>
      <c r="DJ120" s="914"/>
      <c r="DK120" s="914"/>
      <c r="DL120" s="914"/>
      <c r="DM120" s="914"/>
      <c r="DN120" s="914"/>
      <c r="DO120" s="914"/>
      <c r="DP120" s="914"/>
    </row>
    <row r="121" spans="1:120" s="916" customFormat="1">
      <c r="A121" s="894"/>
      <c r="B121" s="895"/>
      <c r="C121" s="894"/>
      <c r="D121" s="894"/>
      <c r="E121" s="917"/>
      <c r="F121" s="896"/>
      <c r="G121" s="896"/>
      <c r="H121" s="897"/>
      <c r="I121" s="898"/>
      <c r="J121" s="897"/>
      <c r="K121" s="897"/>
      <c r="L121" s="897"/>
      <c r="M121" s="898"/>
      <c r="N121" s="897"/>
      <c r="O121" s="897"/>
      <c r="P121" s="899"/>
      <c r="Q121" s="899"/>
      <c r="R121" s="900"/>
      <c r="S121" s="901"/>
      <c r="T121" s="894"/>
      <c r="U121" s="894"/>
      <c r="V121" s="894"/>
      <c r="W121" s="894"/>
      <c r="X121" s="902"/>
      <c r="Y121" s="894"/>
      <c r="Z121" s="636"/>
      <c r="AA121" s="745"/>
      <c r="AB121" s="827"/>
      <c r="AC121" s="827"/>
      <c r="AD121" s="903"/>
      <c r="AE121" s="827"/>
      <c r="AF121" s="827"/>
      <c r="AG121" s="827"/>
      <c r="AH121" s="903"/>
      <c r="AI121" s="827"/>
      <c r="AJ121" s="827"/>
      <c r="AK121" s="827"/>
      <c r="AL121" s="827"/>
      <c r="AM121" s="904"/>
      <c r="AN121" s="904"/>
      <c r="AO121" s="904"/>
      <c r="AP121" s="904"/>
      <c r="AQ121" s="904"/>
      <c r="AR121" s="904"/>
      <c r="AS121" s="904"/>
      <c r="AT121" s="904"/>
      <c r="AU121" s="904"/>
      <c r="AV121" s="904"/>
      <c r="AW121" s="904"/>
      <c r="AX121" s="904"/>
      <c r="AY121" s="904"/>
      <c r="AZ121" s="904"/>
      <c r="BA121" s="904"/>
      <c r="BB121" s="904"/>
      <c r="BC121" s="904"/>
      <c r="BD121" s="904"/>
      <c r="BE121" s="904"/>
      <c r="BF121" s="904"/>
      <c r="BG121" s="904"/>
      <c r="BH121" s="904"/>
      <c r="BI121" s="904"/>
      <c r="BJ121" s="904"/>
      <c r="BK121" s="904"/>
      <c r="BL121" s="904"/>
      <c r="BM121" s="904"/>
      <c r="BN121" s="904"/>
      <c r="BO121" s="904"/>
      <c r="BP121" s="904"/>
      <c r="BQ121" s="904"/>
      <c r="BR121" s="904"/>
      <c r="BS121" s="904"/>
      <c r="BT121" s="865"/>
      <c r="BU121" s="584"/>
      <c r="BV121" s="585"/>
      <c r="BW121" s="585"/>
      <c r="BX121" s="918"/>
      <c r="BY121" s="918"/>
      <c r="BZ121" s="918"/>
      <c r="CA121" s="918"/>
      <c r="CB121" s="588"/>
      <c r="CC121" s="909"/>
      <c r="CD121" s="910"/>
      <c r="CE121" s="910"/>
      <c r="CF121" s="910"/>
      <c r="CG121" s="911"/>
      <c r="CH121" s="911"/>
      <c r="CI121" s="911"/>
      <c r="CJ121" s="912"/>
      <c r="CK121" s="912"/>
      <c r="CL121" s="912"/>
      <c r="CM121" s="912"/>
      <c r="CN121" s="912"/>
      <c r="CO121" s="912"/>
      <c r="CP121" s="912"/>
      <c r="CQ121" s="912"/>
      <c r="CR121" s="913"/>
      <c r="CS121" s="913"/>
      <c r="CT121" s="912"/>
      <c r="CU121" s="912"/>
      <c r="CV121" s="912"/>
      <c r="CW121" s="914"/>
      <c r="CX121" s="914"/>
      <c r="CY121" s="914"/>
      <c r="CZ121" s="914"/>
      <c r="DA121" s="914"/>
      <c r="DB121" s="914"/>
      <c r="DC121" s="914"/>
      <c r="DD121" s="914"/>
      <c r="DE121" s="914"/>
      <c r="DF121" s="914"/>
      <c r="DG121" s="915"/>
      <c r="DH121" s="915"/>
      <c r="DI121" s="915"/>
      <c r="DJ121" s="914"/>
      <c r="DK121" s="914"/>
      <c r="DL121" s="914"/>
      <c r="DM121" s="914"/>
      <c r="DN121" s="914"/>
      <c r="DO121" s="914"/>
      <c r="DP121" s="914"/>
    </row>
    <row r="122" spans="1:120" s="916" customFormat="1">
      <c r="A122" s="894"/>
      <c r="B122" s="895"/>
      <c r="C122" s="894"/>
      <c r="D122" s="894"/>
      <c r="E122" s="917"/>
      <c r="F122" s="896"/>
      <c r="G122" s="896"/>
      <c r="H122" s="897"/>
      <c r="I122" s="898"/>
      <c r="J122" s="897"/>
      <c r="K122" s="897"/>
      <c r="L122" s="897"/>
      <c r="M122" s="898"/>
      <c r="N122" s="897"/>
      <c r="O122" s="897"/>
      <c r="P122" s="899"/>
      <c r="Q122" s="919"/>
      <c r="R122" s="900"/>
      <c r="S122" s="901"/>
      <c r="T122" s="894"/>
      <c r="U122" s="894"/>
      <c r="V122" s="894"/>
      <c r="W122" s="894"/>
      <c r="X122" s="902"/>
      <c r="Y122" s="894"/>
      <c r="Z122" s="636"/>
      <c r="AA122" s="920"/>
      <c r="AB122" s="921"/>
      <c r="AC122" s="827"/>
      <c r="AD122" s="903"/>
      <c r="AE122" s="827"/>
      <c r="AF122" s="827"/>
      <c r="AG122" s="827"/>
      <c r="AH122" s="903"/>
      <c r="AI122" s="827"/>
      <c r="AJ122" s="827"/>
      <c r="AK122" s="827"/>
      <c r="AL122" s="827"/>
      <c r="AM122" s="904"/>
      <c r="AN122" s="904"/>
      <c r="AO122" s="904"/>
      <c r="AP122" s="904"/>
      <c r="AQ122" s="904"/>
      <c r="AR122" s="904"/>
      <c r="AS122" s="904"/>
      <c r="AT122" s="904"/>
      <c r="AU122" s="904"/>
      <c r="AV122" s="904"/>
      <c r="AW122" s="904"/>
      <c r="AX122" s="904"/>
      <c r="AY122" s="904"/>
      <c r="AZ122" s="904"/>
      <c r="BA122" s="904"/>
      <c r="BB122" s="904"/>
      <c r="BC122" s="904"/>
      <c r="BD122" s="904"/>
      <c r="BE122" s="904"/>
      <c r="BF122" s="904"/>
      <c r="BG122" s="904"/>
      <c r="BH122" s="904"/>
      <c r="BI122" s="904"/>
      <c r="BJ122" s="904"/>
      <c r="BK122" s="904"/>
      <c r="BL122" s="904"/>
      <c r="BM122" s="904"/>
      <c r="BN122" s="904"/>
      <c r="BO122" s="904"/>
      <c r="BP122" s="904"/>
      <c r="BQ122" s="904"/>
      <c r="BR122" s="904"/>
      <c r="BS122" s="904"/>
      <c r="BT122" s="865"/>
      <c r="BU122" s="584"/>
      <c r="BV122" s="585"/>
      <c r="BW122" s="585"/>
      <c r="BX122" s="918"/>
      <c r="BY122" s="918"/>
      <c r="BZ122" s="918"/>
      <c r="CA122" s="918"/>
      <c r="CB122" s="588"/>
      <c r="CC122" s="909"/>
      <c r="CD122" s="910"/>
      <c r="CE122" s="910"/>
      <c r="CF122" s="910"/>
      <c r="CG122" s="911"/>
      <c r="CH122" s="911"/>
      <c r="CI122" s="911"/>
      <c r="CJ122" s="912"/>
      <c r="CK122" s="912"/>
      <c r="CL122" s="912"/>
      <c r="CM122" s="912"/>
      <c r="CN122" s="912"/>
      <c r="CO122" s="912"/>
      <c r="CP122" s="912"/>
      <c r="CQ122" s="912"/>
      <c r="CR122" s="913"/>
      <c r="CS122" s="913"/>
      <c r="CT122" s="912"/>
      <c r="CU122" s="912"/>
      <c r="CV122" s="912"/>
      <c r="CW122" s="914"/>
      <c r="CX122" s="914"/>
      <c r="CY122" s="914"/>
      <c r="CZ122" s="914"/>
      <c r="DA122" s="914"/>
      <c r="DB122" s="914"/>
      <c r="DC122" s="914"/>
      <c r="DD122" s="914"/>
      <c r="DE122" s="914"/>
      <c r="DF122" s="914"/>
      <c r="DG122" s="915"/>
      <c r="DH122" s="915"/>
      <c r="DI122" s="915"/>
      <c r="DJ122" s="914"/>
      <c r="DK122" s="914"/>
      <c r="DL122" s="914"/>
      <c r="DM122" s="914"/>
      <c r="DN122" s="914"/>
      <c r="DO122" s="914"/>
      <c r="DP122" s="914"/>
    </row>
    <row r="123" spans="1:120" s="916" customFormat="1">
      <c r="A123" s="894"/>
      <c r="B123" s="895"/>
      <c r="C123" s="894"/>
      <c r="D123" s="894"/>
      <c r="E123" s="922" t="s">
        <v>21</v>
      </c>
      <c r="F123" s="922" t="s">
        <v>132</v>
      </c>
      <c r="G123" s="922" t="s">
        <v>133</v>
      </c>
      <c r="H123" s="922" t="s">
        <v>134</v>
      </c>
      <c r="I123" s="922" t="s">
        <v>464</v>
      </c>
      <c r="J123" s="922" t="s">
        <v>465</v>
      </c>
      <c r="K123" s="922" t="s">
        <v>466</v>
      </c>
      <c r="L123" s="922" t="s">
        <v>467</v>
      </c>
      <c r="M123" s="922" t="s">
        <v>468</v>
      </c>
      <c r="N123" s="922" t="s">
        <v>469</v>
      </c>
      <c r="O123" s="922" t="s">
        <v>471</v>
      </c>
      <c r="P123" s="923"/>
      <c r="Q123" s="924"/>
      <c r="R123" s="900"/>
      <c r="S123" s="901"/>
      <c r="T123" s="894"/>
      <c r="U123" s="894"/>
      <c r="V123" s="894"/>
      <c r="W123" s="894"/>
      <c r="X123" s="902"/>
      <c r="Y123" s="894"/>
      <c r="Z123" s="636"/>
      <c r="AA123" s="745"/>
      <c r="AB123" s="827"/>
      <c r="AC123" s="827"/>
      <c r="AD123" s="745"/>
      <c r="AE123" s="827"/>
      <c r="AF123" s="827"/>
      <c r="AG123" s="745"/>
      <c r="AH123" s="827"/>
      <c r="AI123" s="745"/>
      <c r="AJ123" s="827"/>
      <c r="AK123" s="827"/>
      <c r="AL123" s="745"/>
      <c r="AM123" s="827"/>
      <c r="AN123" s="827"/>
      <c r="AO123" s="827"/>
      <c r="AP123" s="827"/>
      <c r="AQ123" s="827"/>
      <c r="AR123" s="827"/>
      <c r="AS123" s="827"/>
      <c r="AT123" s="827"/>
      <c r="AU123" s="827"/>
      <c r="AV123" s="827"/>
      <c r="AW123" s="827"/>
      <c r="AX123" s="827"/>
      <c r="AY123" s="827"/>
      <c r="AZ123" s="827"/>
      <c r="BA123" s="827"/>
      <c r="BB123" s="827"/>
      <c r="BC123" s="827"/>
      <c r="BD123" s="827"/>
      <c r="BE123" s="827"/>
      <c r="BF123" s="827"/>
      <c r="BG123" s="827"/>
      <c r="BH123" s="827"/>
      <c r="BI123" s="827"/>
      <c r="BJ123" s="827"/>
      <c r="BK123" s="827"/>
      <c r="BL123" s="827"/>
      <c r="BM123" s="827"/>
      <c r="BN123" s="827"/>
      <c r="BO123" s="827"/>
      <c r="BP123" s="827"/>
      <c r="BQ123" s="827"/>
      <c r="BR123" s="827"/>
      <c r="BS123" s="827"/>
      <c r="BT123" s="925"/>
      <c r="BU123" s="926"/>
      <c r="BV123" s="927"/>
      <c r="BW123" s="927"/>
      <c r="BX123" s="918"/>
      <c r="BY123" s="918"/>
      <c r="BZ123" s="918"/>
      <c r="CA123" s="918"/>
      <c r="CB123" s="588"/>
      <c r="CC123" s="909"/>
      <c r="CD123" s="910"/>
      <c r="CE123" s="910"/>
      <c r="CF123" s="910"/>
      <c r="CG123" s="911"/>
      <c r="CH123" s="911"/>
      <c r="CI123" s="911"/>
      <c r="CJ123" s="912"/>
      <c r="CK123" s="912"/>
      <c r="CL123" s="912"/>
      <c r="CM123" s="928"/>
      <c r="CN123" s="929" t="str">
        <f>""</f>
        <v/>
      </c>
      <c r="CO123" s="929"/>
      <c r="CP123" s="929"/>
      <c r="CQ123" s="929"/>
      <c r="CR123" s="929"/>
      <c r="CS123" s="929"/>
      <c r="CT123" s="929"/>
      <c r="CU123" s="929"/>
      <c r="CV123" s="929"/>
      <c r="CW123" s="914"/>
      <c r="CX123" s="914"/>
      <c r="CY123" s="914"/>
      <c r="CZ123" s="914"/>
      <c r="DA123" s="914"/>
      <c r="DB123" s="914"/>
      <c r="DC123" s="914"/>
      <c r="DD123" s="914"/>
      <c r="DE123" s="914"/>
      <c r="DF123" s="914"/>
      <c r="DG123" s="915"/>
      <c r="DH123" s="915"/>
      <c r="DI123" s="915"/>
      <c r="DJ123" s="914"/>
      <c r="DK123" s="914"/>
      <c r="DL123" s="914"/>
      <c r="DM123" s="914"/>
      <c r="DN123" s="914"/>
      <c r="DO123" s="914"/>
      <c r="DP123" s="914"/>
    </row>
    <row r="124" spans="1:120" s="916" customFormat="1">
      <c r="A124" s="894"/>
      <c r="B124" s="895" t="s">
        <v>156</v>
      </c>
      <c r="C124" s="894"/>
      <c r="D124" s="894"/>
      <c r="E124" s="930">
        <f t="shared" ref="E124:O124" si="64">IF(E16="","",SUM(E16:E84))</f>
        <v>38914.360199999996</v>
      </c>
      <c r="F124" s="930">
        <f t="shared" si="64"/>
        <v>38974</v>
      </c>
      <c r="G124" s="930">
        <f t="shared" si="64"/>
        <v>39096.199999999997</v>
      </c>
      <c r="H124" s="930">
        <f t="shared" si="64"/>
        <v>39416.51</v>
      </c>
      <c r="I124" s="930">
        <f t="shared" si="64"/>
        <v>39289.493999999999</v>
      </c>
      <c r="J124" s="930">
        <f t="shared" si="64"/>
        <v>39503.1</v>
      </c>
      <c r="K124" s="930">
        <f t="shared" si="64"/>
        <v>39657.299999999996</v>
      </c>
      <c r="L124" s="930">
        <f t="shared" si="64"/>
        <v>39762.050000000003</v>
      </c>
      <c r="M124" s="930">
        <f t="shared" si="64"/>
        <v>39886.1</v>
      </c>
      <c r="N124" s="930">
        <f t="shared" si="64"/>
        <v>39895.599999999999</v>
      </c>
      <c r="O124" s="930" t="str">
        <f t="shared" si="64"/>
        <v/>
      </c>
      <c r="P124" s="930"/>
      <c r="Q124" s="930"/>
      <c r="R124" s="900"/>
      <c r="S124" s="901"/>
      <c r="T124" s="894"/>
      <c r="U124" s="894"/>
      <c r="V124" s="894"/>
      <c r="W124" s="894"/>
      <c r="X124" s="902"/>
      <c r="Y124" s="894"/>
      <c r="Z124" s="636"/>
      <c r="AA124" s="745"/>
      <c r="AB124" s="827"/>
      <c r="AC124" s="827"/>
      <c r="AD124" s="745"/>
      <c r="AE124" s="827"/>
      <c r="AF124" s="827"/>
      <c r="AG124" s="745"/>
      <c r="AH124" s="827"/>
      <c r="AI124" s="745"/>
      <c r="AJ124" s="827"/>
      <c r="AK124" s="827"/>
      <c r="AL124" s="745"/>
      <c r="AM124" s="827"/>
      <c r="AN124" s="827"/>
      <c r="AO124" s="827"/>
      <c r="AP124" s="827"/>
      <c r="AQ124" s="827"/>
      <c r="AR124" s="827"/>
      <c r="AS124" s="827"/>
      <c r="AT124" s="827"/>
      <c r="AU124" s="827"/>
      <c r="AV124" s="827"/>
      <c r="AW124" s="827"/>
      <c r="AX124" s="827"/>
      <c r="AY124" s="827"/>
      <c r="AZ124" s="827"/>
      <c r="BA124" s="827"/>
      <c r="BB124" s="827"/>
      <c r="BC124" s="827"/>
      <c r="BD124" s="827"/>
      <c r="BE124" s="827"/>
      <c r="BF124" s="827"/>
      <c r="BG124" s="827"/>
      <c r="BH124" s="827"/>
      <c r="BI124" s="827"/>
      <c r="BJ124" s="827"/>
      <c r="BK124" s="827"/>
      <c r="BL124" s="827"/>
      <c r="BM124" s="827"/>
      <c r="BN124" s="827"/>
      <c r="BO124" s="827"/>
      <c r="BP124" s="827"/>
      <c r="BQ124" s="827"/>
      <c r="BR124" s="827"/>
      <c r="BS124" s="827"/>
      <c r="BT124" s="925"/>
      <c r="BU124" s="926"/>
      <c r="BV124" s="927"/>
      <c r="BW124" s="927"/>
      <c r="BX124" s="918"/>
      <c r="BY124" s="918"/>
      <c r="BZ124" s="918"/>
      <c r="CA124" s="918"/>
      <c r="CB124" s="588"/>
      <c r="CC124" s="909"/>
      <c r="CD124" s="910"/>
      <c r="CE124" s="910"/>
      <c r="CF124" s="910"/>
      <c r="CG124" s="911"/>
      <c r="CH124" s="911"/>
      <c r="CI124" s="911"/>
      <c r="CJ124" s="912"/>
      <c r="CK124" s="912"/>
      <c r="CL124" s="912"/>
      <c r="CM124" s="931">
        <f>IF(CM127="","",SUM(CM16:CM123))</f>
        <v>59.63980000000015</v>
      </c>
      <c r="CN124" s="931">
        <f>IF(CN127="","",SUM(CN16:CN123))</f>
        <v>122.19999999999993</v>
      </c>
      <c r="CO124" s="931">
        <f t="shared" ref="CO124:CT124" si="65">IF(CO127="","",SUM(CP16:CP123))</f>
        <v>-127.01600000000002</v>
      </c>
      <c r="CP124" s="931">
        <f t="shared" si="65"/>
        <v>213.60599999999982</v>
      </c>
      <c r="CQ124" s="931">
        <f t="shared" si="65"/>
        <v>154.19999999999999</v>
      </c>
      <c r="CR124" s="931">
        <f t="shared" si="65"/>
        <v>104.75000000000006</v>
      </c>
      <c r="CS124" s="931">
        <f t="shared" si="65"/>
        <v>124.05000000000007</v>
      </c>
      <c r="CT124" s="931">
        <f t="shared" si="65"/>
        <v>9.5000000000002274</v>
      </c>
      <c r="CU124" s="932">
        <f>SUM(Q16:Q123)</f>
        <v>981.23980000000006</v>
      </c>
      <c r="CV124" s="929"/>
      <c r="CW124" s="914"/>
      <c r="CX124" s="914"/>
      <c r="CY124" s="914"/>
      <c r="CZ124" s="914"/>
      <c r="DA124" s="914"/>
      <c r="DB124" s="914"/>
      <c r="DC124" s="914"/>
      <c r="DD124" s="914"/>
      <c r="DE124" s="914"/>
      <c r="DF124" s="914"/>
      <c r="DG124" s="915"/>
      <c r="DH124" s="915"/>
      <c r="DI124" s="915"/>
      <c r="DJ124" s="914"/>
      <c r="DK124" s="914"/>
      <c r="DL124" s="914"/>
      <c r="DM124" s="914"/>
      <c r="DN124" s="914"/>
      <c r="DO124" s="914"/>
      <c r="DP124" s="914"/>
    </row>
    <row r="125" spans="1:120" s="916" customFormat="1" ht="15.75">
      <c r="A125" s="894"/>
      <c r="B125" s="895"/>
      <c r="C125" s="894"/>
      <c r="D125" s="894"/>
      <c r="E125" s="930"/>
      <c r="F125" s="896"/>
      <c r="G125" s="896"/>
      <c r="H125" s="933"/>
      <c r="I125" s="933"/>
      <c r="J125" s="933"/>
      <c r="K125" s="933"/>
      <c r="L125" s="933"/>
      <c r="M125" s="933"/>
      <c r="N125" s="933"/>
      <c r="O125" s="897"/>
      <c r="P125" s="923"/>
      <c r="Q125" s="923"/>
      <c r="R125" s="900"/>
      <c r="S125" s="901"/>
      <c r="T125" s="894"/>
      <c r="U125" s="894"/>
      <c r="V125" s="894"/>
      <c r="W125" s="894"/>
      <c r="X125" s="902"/>
      <c r="Y125" s="894"/>
      <c r="Z125" s="636"/>
      <c r="AA125" s="745"/>
      <c r="AB125" s="827"/>
      <c r="AC125" s="827"/>
      <c r="AD125" s="745"/>
      <c r="AE125" s="827"/>
      <c r="AF125" s="827"/>
      <c r="AG125" s="745"/>
      <c r="AH125" s="827"/>
      <c r="AI125" s="745"/>
      <c r="AJ125" s="827"/>
      <c r="AK125" s="827"/>
      <c r="AL125" s="745"/>
      <c r="AM125" s="827"/>
      <c r="AN125" s="827"/>
      <c r="AO125" s="827"/>
      <c r="AP125" s="827"/>
      <c r="AQ125" s="827"/>
      <c r="AR125" s="827"/>
      <c r="AS125" s="827"/>
      <c r="AT125" s="827"/>
      <c r="AU125" s="827"/>
      <c r="AV125" s="827"/>
      <c r="AW125" s="827"/>
      <c r="AX125" s="827"/>
      <c r="AY125" s="827"/>
      <c r="AZ125" s="827"/>
      <c r="BA125" s="827"/>
      <c r="BB125" s="827"/>
      <c r="BC125" s="827"/>
      <c r="BD125" s="827"/>
      <c r="BE125" s="827"/>
      <c r="BF125" s="827"/>
      <c r="BG125" s="827"/>
      <c r="BH125" s="827"/>
      <c r="BI125" s="827"/>
      <c r="BJ125" s="827"/>
      <c r="BK125" s="827"/>
      <c r="BL125" s="827"/>
      <c r="BM125" s="827"/>
      <c r="BN125" s="827"/>
      <c r="BO125" s="827"/>
      <c r="BP125" s="827"/>
      <c r="BQ125" s="827"/>
      <c r="BR125" s="827"/>
      <c r="BS125" s="827"/>
      <c r="BT125" s="925"/>
      <c r="BU125" s="926"/>
      <c r="BV125" s="927"/>
      <c r="BW125" s="927"/>
      <c r="BX125" s="918"/>
      <c r="BY125" s="918"/>
      <c r="BZ125" s="918"/>
      <c r="CA125" s="918"/>
      <c r="CB125" s="588"/>
      <c r="CC125" s="909"/>
      <c r="CD125" s="910"/>
      <c r="CE125" s="910"/>
      <c r="CF125" s="910"/>
      <c r="CG125" s="911"/>
      <c r="CH125" s="911"/>
      <c r="CI125" s="911"/>
      <c r="CJ125" s="912"/>
      <c r="CK125" s="912"/>
      <c r="CL125" s="912"/>
      <c r="CM125" s="934"/>
      <c r="CN125" s="934"/>
      <c r="CO125" s="934"/>
      <c r="CP125" s="934"/>
      <c r="CQ125" s="934"/>
      <c r="CR125" s="934"/>
      <c r="CS125" s="934"/>
      <c r="CT125" s="934"/>
      <c r="CU125" s="934"/>
      <c r="CV125" s="934"/>
      <c r="CW125" s="914"/>
      <c r="CX125" s="914"/>
      <c r="CY125" s="914"/>
      <c r="CZ125" s="914"/>
      <c r="DA125" s="914"/>
      <c r="DB125" s="914"/>
      <c r="DC125" s="914"/>
      <c r="DD125" s="914"/>
      <c r="DE125" s="914"/>
      <c r="DF125" s="914"/>
      <c r="DG125" s="915"/>
      <c r="DH125" s="915"/>
      <c r="DI125" s="915"/>
      <c r="DJ125" s="914"/>
      <c r="DK125" s="914"/>
      <c r="DL125" s="914"/>
      <c r="DM125" s="914"/>
      <c r="DN125" s="914"/>
      <c r="DO125" s="914"/>
      <c r="DP125" s="914"/>
    </row>
    <row r="126" spans="1:120" s="916" customFormat="1" ht="15.75">
      <c r="A126" s="894"/>
      <c r="B126" s="895"/>
      <c r="C126" s="894"/>
      <c r="D126" s="894"/>
      <c r="E126" s="930" t="str">
        <f>""</f>
        <v/>
      </c>
      <c r="F126" s="896" t="str">
        <f>""</f>
        <v/>
      </c>
      <c r="G126" s="896" t="str">
        <f>""</f>
        <v/>
      </c>
      <c r="H126" s="933" t="str">
        <f>""</f>
        <v/>
      </c>
      <c r="I126" s="933" t="str">
        <f>""</f>
        <v/>
      </c>
      <c r="J126" s="933" t="str">
        <f>""</f>
        <v/>
      </c>
      <c r="K126" s="933" t="str">
        <f>""</f>
        <v/>
      </c>
      <c r="L126" s="933" t="str">
        <f>""</f>
        <v/>
      </c>
      <c r="M126" s="933" t="str">
        <f>""</f>
        <v/>
      </c>
      <c r="N126" s="933"/>
      <c r="O126" s="897" t="str">
        <f>""</f>
        <v/>
      </c>
      <c r="P126" s="923"/>
      <c r="Q126" s="923" t="str">
        <f>""</f>
        <v/>
      </c>
      <c r="R126" s="900"/>
      <c r="S126" s="901"/>
      <c r="T126" s="894"/>
      <c r="U126" s="894"/>
      <c r="V126" s="894"/>
      <c r="W126" s="894"/>
      <c r="X126" s="902"/>
      <c r="Y126" s="894"/>
      <c r="Z126" s="636"/>
      <c r="AA126" s="745"/>
      <c r="AB126" s="827"/>
      <c r="AC126" s="827"/>
      <c r="AD126" s="745"/>
      <c r="AE126" s="827"/>
      <c r="AF126" s="827"/>
      <c r="AG126" s="745"/>
      <c r="AH126" s="827"/>
      <c r="AI126" s="745"/>
      <c r="AJ126" s="827"/>
      <c r="AK126" s="827"/>
      <c r="AL126" s="745"/>
      <c r="AM126" s="827"/>
      <c r="AN126" s="827"/>
      <c r="AO126" s="827"/>
      <c r="AP126" s="827"/>
      <c r="AQ126" s="827"/>
      <c r="AR126" s="827"/>
      <c r="AS126" s="827"/>
      <c r="AT126" s="827"/>
      <c r="AU126" s="827"/>
      <c r="AV126" s="827"/>
      <c r="AW126" s="827"/>
      <c r="AX126" s="827"/>
      <c r="AY126" s="827"/>
      <c r="AZ126" s="827"/>
      <c r="BA126" s="827"/>
      <c r="BB126" s="827"/>
      <c r="BC126" s="827"/>
      <c r="BD126" s="827"/>
      <c r="BE126" s="827"/>
      <c r="BF126" s="827"/>
      <c r="BG126" s="827"/>
      <c r="BH126" s="827"/>
      <c r="BI126" s="827"/>
      <c r="BJ126" s="827"/>
      <c r="BK126" s="827"/>
      <c r="BL126" s="827"/>
      <c r="BM126" s="827"/>
      <c r="BN126" s="827"/>
      <c r="BO126" s="827"/>
      <c r="BP126" s="827"/>
      <c r="BQ126" s="827"/>
      <c r="BR126" s="827"/>
      <c r="BS126" s="827"/>
      <c r="BT126" s="925"/>
      <c r="BU126" s="926"/>
      <c r="BV126" s="927"/>
      <c r="BW126" s="927"/>
      <c r="BX126" s="918"/>
      <c r="BY126" s="918"/>
      <c r="BZ126" s="918"/>
      <c r="CA126" s="918"/>
      <c r="CB126" s="588"/>
      <c r="CC126" s="909"/>
      <c r="CD126" s="910"/>
      <c r="CE126" s="910"/>
      <c r="CF126" s="910"/>
      <c r="CG126" s="911"/>
      <c r="CH126" s="911"/>
      <c r="CI126" s="911"/>
      <c r="CJ126" s="912"/>
      <c r="CK126" s="912"/>
      <c r="CL126" s="912"/>
      <c r="CM126" s="929" t="str">
        <f>""</f>
        <v/>
      </c>
      <c r="CN126" s="929" t="str">
        <f>""</f>
        <v/>
      </c>
      <c r="CO126" s="929" t="str">
        <f>""</f>
        <v/>
      </c>
      <c r="CP126" s="929" t="str">
        <f>""</f>
        <v/>
      </c>
      <c r="CQ126" s="929" t="str">
        <f>""</f>
        <v/>
      </c>
      <c r="CR126" s="929" t="str">
        <f>""</f>
        <v/>
      </c>
      <c r="CS126" s="929" t="str">
        <f>""</f>
        <v/>
      </c>
      <c r="CT126" s="929" t="str">
        <f>""</f>
        <v/>
      </c>
      <c r="CU126" s="929" t="str">
        <f>""</f>
        <v/>
      </c>
      <c r="CV126" s="929"/>
      <c r="CW126" s="914"/>
      <c r="CX126" s="914"/>
      <c r="CY126" s="914"/>
      <c r="CZ126" s="914"/>
      <c r="DA126" s="914"/>
      <c r="DB126" s="914"/>
      <c r="DC126" s="914"/>
      <c r="DD126" s="914"/>
      <c r="DE126" s="914"/>
      <c r="DF126" s="914"/>
      <c r="DG126" s="915"/>
      <c r="DH126" s="915"/>
      <c r="DI126" s="915"/>
      <c r="DJ126" s="914"/>
      <c r="DK126" s="914"/>
      <c r="DL126" s="914"/>
      <c r="DM126" s="914"/>
      <c r="DN126" s="914"/>
      <c r="DO126" s="914"/>
      <c r="DP126" s="914"/>
    </row>
    <row r="127" spans="1:120" s="916" customFormat="1">
      <c r="A127" s="894"/>
      <c r="B127" s="895" t="s">
        <v>484</v>
      </c>
      <c r="C127" s="894">
        <f>COUNT(A16:A56)</f>
        <v>41</v>
      </c>
      <c r="D127" s="894"/>
      <c r="E127" s="896">
        <f t="shared" ref="E127:O127" si="66">IF(E36="","",E124/$C127)</f>
        <v>949.13073658536575</v>
      </c>
      <c r="F127" s="896">
        <f>IF(F36="","",F124/$C127)</f>
        <v>950.58536585365857</v>
      </c>
      <c r="G127" s="896">
        <f>IF(G36="","",G124/$C127)</f>
        <v>953.56585365853653</v>
      </c>
      <c r="H127" s="896">
        <f>IF(H36="","",H124/$C127)</f>
        <v>961.37829268292683</v>
      </c>
      <c r="I127" s="896">
        <f>IF(I36="","",I124/$C127)</f>
        <v>958.28034146341463</v>
      </c>
      <c r="J127" s="896">
        <f t="shared" si="66"/>
        <v>963.49024390243903</v>
      </c>
      <c r="K127" s="896">
        <f t="shared" si="66"/>
        <v>967.25121951219501</v>
      </c>
      <c r="L127" s="896">
        <f t="shared" si="66"/>
        <v>969.80609756097567</v>
      </c>
      <c r="M127" s="896">
        <f t="shared" si="66"/>
        <v>972.8317073170731</v>
      </c>
      <c r="N127" s="896">
        <f t="shared" si="66"/>
        <v>973.06341463414628</v>
      </c>
      <c r="O127" s="896" t="str">
        <f t="shared" si="66"/>
        <v/>
      </c>
      <c r="P127" s="923"/>
      <c r="Q127" s="923"/>
      <c r="R127" s="900"/>
      <c r="S127" s="901"/>
      <c r="T127" s="894"/>
      <c r="U127" s="894"/>
      <c r="V127" s="894"/>
      <c r="W127" s="894"/>
      <c r="X127" s="902"/>
      <c r="Y127" s="894"/>
      <c r="Z127" s="636"/>
      <c r="AA127" s="745"/>
      <c r="AB127" s="827"/>
      <c r="AC127" s="827"/>
      <c r="AD127" s="745"/>
      <c r="AE127" s="827"/>
      <c r="AF127" s="827"/>
      <c r="AG127" s="745"/>
      <c r="AH127" s="827"/>
      <c r="AI127" s="745"/>
      <c r="AJ127" s="827"/>
      <c r="AK127" s="827"/>
      <c r="AL127" s="745"/>
      <c r="AM127" s="827"/>
      <c r="AN127" s="827"/>
      <c r="AO127" s="827"/>
      <c r="AP127" s="827"/>
      <c r="AQ127" s="827"/>
      <c r="AR127" s="827"/>
      <c r="AS127" s="827"/>
      <c r="AT127" s="827"/>
      <c r="AU127" s="827"/>
      <c r="AV127" s="827"/>
      <c r="AW127" s="827"/>
      <c r="AX127" s="827"/>
      <c r="AY127" s="827"/>
      <c r="AZ127" s="827"/>
      <c r="BA127" s="827"/>
      <c r="BB127" s="827"/>
      <c r="BC127" s="827"/>
      <c r="BD127" s="827"/>
      <c r="BE127" s="827"/>
      <c r="BF127" s="827"/>
      <c r="BG127" s="827"/>
      <c r="BH127" s="827"/>
      <c r="BI127" s="827"/>
      <c r="BJ127" s="827"/>
      <c r="BK127" s="827"/>
      <c r="BL127" s="827"/>
      <c r="BM127" s="827"/>
      <c r="BN127" s="827"/>
      <c r="BO127" s="827"/>
      <c r="BP127" s="827"/>
      <c r="BQ127" s="827"/>
      <c r="BR127" s="827"/>
      <c r="BS127" s="827"/>
      <c r="BT127" s="925"/>
      <c r="BU127" s="926"/>
      <c r="BV127" s="927"/>
      <c r="BW127" s="927"/>
      <c r="BX127" s="918"/>
      <c r="BY127" s="918"/>
      <c r="BZ127" s="918"/>
      <c r="CA127" s="918"/>
      <c r="CB127" s="588"/>
      <c r="CC127" s="909"/>
      <c r="CD127" s="910"/>
      <c r="CE127" s="910"/>
      <c r="CF127" s="910"/>
      <c r="CG127" s="911"/>
      <c r="CH127" s="911"/>
      <c r="CI127" s="911"/>
      <c r="CJ127" s="912"/>
      <c r="CK127" s="912"/>
      <c r="CL127" s="912"/>
      <c r="CM127" s="929">
        <f>IF(CM36="","",AVERAGE(CM15:CM98))</f>
        <v>1.4199952380952416</v>
      </c>
      <c r="CN127" s="929">
        <f>IF(CN36="","",AVERAGE(CN15:CN98))</f>
        <v>2.9095238095238081</v>
      </c>
      <c r="CO127" s="929">
        <f t="shared" ref="CO127:CT127" si="67">IF(CP36="","",AVERAGE(CP15:CP98))</f>
        <v>-3.0241904761904768</v>
      </c>
      <c r="CP127" s="929">
        <f t="shared" si="67"/>
        <v>5.0858571428571384</v>
      </c>
      <c r="CQ127" s="929">
        <f t="shared" si="67"/>
        <v>3.6714285714285713</v>
      </c>
      <c r="CR127" s="929">
        <f t="shared" si="67"/>
        <v>2.4940476190476204</v>
      </c>
      <c r="CS127" s="929">
        <f t="shared" si="67"/>
        <v>2.9535714285714301</v>
      </c>
      <c r="CT127" s="929">
        <f t="shared" si="67"/>
        <v>0.2261904761904816</v>
      </c>
      <c r="CU127" s="929">
        <f>IF(Q36="","",AVERAGE(Q15:Q98))</f>
        <v>14.220866666666668</v>
      </c>
      <c r="CV127" s="929"/>
      <c r="CW127" s="914"/>
      <c r="CX127" s="914"/>
      <c r="CY127" s="914"/>
      <c r="CZ127" s="914"/>
      <c r="DA127" s="914"/>
      <c r="DB127" s="914"/>
      <c r="DC127" s="914"/>
      <c r="DD127" s="914"/>
      <c r="DE127" s="914"/>
      <c r="DF127" s="914"/>
      <c r="DG127" s="915"/>
      <c r="DH127" s="915"/>
      <c r="DI127" s="915"/>
      <c r="DJ127" s="914"/>
      <c r="DK127" s="914"/>
      <c r="DL127" s="914"/>
      <c r="DM127" s="914"/>
      <c r="DN127" s="914"/>
      <c r="DO127" s="914"/>
      <c r="DP127" s="914"/>
    </row>
    <row r="128" spans="1:120" s="916" customFormat="1" ht="15.75">
      <c r="A128" s="894"/>
      <c r="B128" s="895"/>
      <c r="C128" s="894"/>
      <c r="D128" s="894"/>
      <c r="E128" s="917"/>
      <c r="F128" s="896"/>
      <c r="G128" s="896"/>
      <c r="H128" s="933"/>
      <c r="I128" s="933"/>
      <c r="J128" s="933"/>
      <c r="K128" s="933"/>
      <c r="L128" s="933"/>
      <c r="M128" s="933"/>
      <c r="N128" s="933"/>
      <c r="O128" s="897"/>
      <c r="P128" s="899"/>
      <c r="Q128" s="899"/>
      <c r="R128" s="900"/>
      <c r="S128" s="901"/>
      <c r="T128" s="894"/>
      <c r="U128" s="894"/>
      <c r="V128" s="894"/>
      <c r="W128" s="894"/>
      <c r="X128" s="902"/>
      <c r="Y128" s="894"/>
      <c r="Z128" s="636"/>
      <c r="AA128" s="745"/>
      <c r="AB128" s="827"/>
      <c r="AC128" s="827"/>
      <c r="AD128" s="745"/>
      <c r="AE128" s="827"/>
      <c r="AF128" s="827"/>
      <c r="AG128" s="745"/>
      <c r="AH128" s="827"/>
      <c r="AI128" s="745"/>
      <c r="AJ128" s="827"/>
      <c r="AK128" s="827"/>
      <c r="AL128" s="745"/>
      <c r="AM128" s="827"/>
      <c r="AN128" s="827"/>
      <c r="AO128" s="827"/>
      <c r="AP128" s="827"/>
      <c r="AQ128" s="827"/>
      <c r="AR128" s="827"/>
      <c r="AS128" s="827"/>
      <c r="AT128" s="827"/>
      <c r="AU128" s="827"/>
      <c r="AV128" s="827"/>
      <c r="AW128" s="827"/>
      <c r="AX128" s="827"/>
      <c r="AY128" s="827"/>
      <c r="AZ128" s="827"/>
      <c r="BA128" s="827"/>
      <c r="BB128" s="827"/>
      <c r="BC128" s="827"/>
      <c r="BD128" s="827"/>
      <c r="BE128" s="827"/>
      <c r="BF128" s="827"/>
      <c r="BG128" s="827"/>
      <c r="BH128" s="827"/>
      <c r="BI128" s="827"/>
      <c r="BJ128" s="827"/>
      <c r="BK128" s="827"/>
      <c r="BL128" s="827"/>
      <c r="BM128" s="827"/>
      <c r="BN128" s="827"/>
      <c r="BO128" s="827"/>
      <c r="BP128" s="827"/>
      <c r="BQ128" s="827"/>
      <c r="BR128" s="827"/>
      <c r="BS128" s="827"/>
      <c r="BT128" s="925"/>
      <c r="BU128" s="926"/>
      <c r="BV128" s="927"/>
      <c r="BW128" s="927"/>
      <c r="BX128" s="918"/>
      <c r="BY128" s="918"/>
      <c r="BZ128" s="918"/>
      <c r="CA128" s="918"/>
      <c r="CB128" s="588"/>
      <c r="CC128" s="909"/>
      <c r="CD128" s="910"/>
      <c r="CE128" s="910"/>
      <c r="CF128" s="910"/>
      <c r="CG128" s="911"/>
      <c r="CH128" s="911"/>
      <c r="CI128" s="911"/>
      <c r="CJ128" s="912"/>
      <c r="CK128" s="912"/>
      <c r="CL128" s="912"/>
      <c r="CM128" s="912"/>
      <c r="CN128" s="912"/>
      <c r="CO128" s="912"/>
      <c r="CP128" s="912"/>
      <c r="CQ128" s="912"/>
      <c r="CR128" s="913"/>
      <c r="CS128" s="913"/>
      <c r="CT128" s="912"/>
      <c r="CU128" s="912"/>
      <c r="CV128" s="912"/>
      <c r="CW128" s="914"/>
      <c r="CX128" s="914"/>
      <c r="CY128" s="914"/>
      <c r="CZ128" s="914"/>
      <c r="DA128" s="914"/>
      <c r="DB128" s="914"/>
      <c r="DC128" s="914"/>
      <c r="DD128" s="914"/>
      <c r="DE128" s="914"/>
      <c r="DF128" s="914"/>
      <c r="DG128" s="915"/>
      <c r="DH128" s="915"/>
      <c r="DI128" s="915"/>
      <c r="DJ128" s="914"/>
      <c r="DK128" s="914"/>
      <c r="DL128" s="914"/>
      <c r="DM128" s="914"/>
      <c r="DN128" s="914"/>
      <c r="DO128" s="914"/>
      <c r="DP128" s="914"/>
    </row>
    <row r="129" spans="1:120" s="916" customFormat="1" ht="15.75">
      <c r="A129" s="894"/>
      <c r="B129" s="895"/>
      <c r="C129" s="894"/>
      <c r="D129" s="894"/>
      <c r="E129" s="917"/>
      <c r="F129" s="896"/>
      <c r="G129" s="896"/>
      <c r="H129" s="933"/>
      <c r="I129" s="933"/>
      <c r="J129" s="933"/>
      <c r="K129" s="933"/>
      <c r="L129" s="933"/>
      <c r="M129" s="933"/>
      <c r="N129" s="933"/>
      <c r="O129" s="897"/>
      <c r="P129" s="899"/>
      <c r="Q129" s="899"/>
      <c r="R129" s="900"/>
      <c r="S129" s="901"/>
      <c r="T129" s="894"/>
      <c r="U129" s="894"/>
      <c r="V129" s="894"/>
      <c r="W129" s="894"/>
      <c r="X129" s="902"/>
      <c r="Y129" s="894"/>
      <c r="Z129" s="636"/>
      <c r="AA129" s="745"/>
      <c r="AB129" s="827"/>
      <c r="AC129" s="827"/>
      <c r="AD129" s="745"/>
      <c r="AE129" s="827"/>
      <c r="AF129" s="827"/>
      <c r="AG129" s="745"/>
      <c r="AH129" s="827"/>
      <c r="AI129" s="745"/>
      <c r="AJ129" s="827"/>
      <c r="AK129" s="827"/>
      <c r="AL129" s="745"/>
      <c r="AM129" s="827"/>
      <c r="AN129" s="827"/>
      <c r="AO129" s="827"/>
      <c r="AP129" s="827"/>
      <c r="AQ129" s="827"/>
      <c r="AR129" s="827"/>
      <c r="AS129" s="827"/>
      <c r="AT129" s="827"/>
      <c r="AU129" s="827"/>
      <c r="AV129" s="827"/>
      <c r="AW129" s="827"/>
      <c r="AX129" s="827"/>
      <c r="AY129" s="827"/>
      <c r="AZ129" s="827"/>
      <c r="BA129" s="827"/>
      <c r="BB129" s="827"/>
      <c r="BC129" s="827"/>
      <c r="BD129" s="827"/>
      <c r="BE129" s="827"/>
      <c r="BF129" s="827"/>
      <c r="BG129" s="827"/>
      <c r="BH129" s="827"/>
      <c r="BI129" s="827"/>
      <c r="BJ129" s="827"/>
      <c r="BK129" s="827"/>
      <c r="BL129" s="827"/>
      <c r="BM129" s="827"/>
      <c r="BN129" s="827"/>
      <c r="BO129" s="827"/>
      <c r="BP129" s="827"/>
      <c r="BQ129" s="827"/>
      <c r="BR129" s="827"/>
      <c r="BS129" s="827"/>
      <c r="BT129" s="925"/>
      <c r="BU129" s="926"/>
      <c r="BV129" s="927"/>
      <c r="BW129" s="927"/>
      <c r="BX129" s="918"/>
      <c r="BY129" s="918"/>
      <c r="BZ129" s="918"/>
      <c r="CA129" s="918"/>
      <c r="CB129" s="588"/>
      <c r="CC129" s="909"/>
      <c r="CD129" s="910"/>
      <c r="CE129" s="910"/>
      <c r="CF129" s="910"/>
      <c r="CG129" s="911"/>
      <c r="CH129" s="911"/>
      <c r="CI129" s="911"/>
      <c r="CJ129" s="912"/>
      <c r="CK129" s="912"/>
      <c r="CL129" s="912"/>
      <c r="CM129" s="912"/>
      <c r="CN129" s="912"/>
      <c r="CO129" s="912"/>
      <c r="CP129" s="912"/>
      <c r="CQ129" s="912"/>
      <c r="CR129" s="913"/>
      <c r="CS129" s="913"/>
      <c r="CT129" s="912"/>
      <c r="CU129" s="912"/>
      <c r="CV129" s="912"/>
      <c r="CW129" s="914"/>
      <c r="CX129" s="914"/>
      <c r="CY129" s="914"/>
      <c r="CZ129" s="914"/>
      <c r="DA129" s="914"/>
      <c r="DB129" s="914"/>
      <c r="DC129" s="914"/>
      <c r="DD129" s="914"/>
      <c r="DE129" s="914"/>
      <c r="DF129" s="914"/>
      <c r="DG129" s="915"/>
      <c r="DH129" s="915"/>
      <c r="DI129" s="915"/>
      <c r="DJ129" s="914"/>
      <c r="DK129" s="914"/>
      <c r="DL129" s="914"/>
      <c r="DM129" s="914"/>
      <c r="DN129" s="914"/>
      <c r="DO129" s="914"/>
      <c r="DP129" s="914"/>
    </row>
    <row r="130" spans="1:120" s="916" customFormat="1">
      <c r="A130" s="894"/>
      <c r="B130" s="895"/>
      <c r="C130" s="894"/>
      <c r="D130" s="894"/>
      <c r="E130" s="917"/>
      <c r="F130" s="896"/>
      <c r="G130" s="896"/>
      <c r="H130" s="897"/>
      <c r="I130" s="898"/>
      <c r="J130" s="897"/>
      <c r="K130" s="897"/>
      <c r="L130" s="897"/>
      <c r="M130" s="898"/>
      <c r="N130" s="897"/>
      <c r="O130" s="897"/>
      <c r="P130" s="899"/>
      <c r="Q130" s="899"/>
      <c r="R130" s="900"/>
      <c r="S130" s="901"/>
      <c r="T130" s="894"/>
      <c r="U130" s="894"/>
      <c r="V130" s="894"/>
      <c r="W130" s="894"/>
      <c r="X130" s="902"/>
      <c r="Y130" s="894"/>
      <c r="Z130" s="636"/>
      <c r="AA130" s="745"/>
      <c r="AB130" s="827"/>
      <c r="AC130" s="827"/>
      <c r="AD130" s="745"/>
      <c r="AE130" s="827"/>
      <c r="AF130" s="827"/>
      <c r="AG130" s="745"/>
      <c r="AH130" s="827"/>
      <c r="AI130" s="745"/>
      <c r="AJ130" s="827"/>
      <c r="AK130" s="827"/>
      <c r="AL130" s="745"/>
      <c r="AM130" s="827"/>
      <c r="AN130" s="827"/>
      <c r="AO130" s="827"/>
      <c r="AP130" s="827"/>
      <c r="AQ130" s="827"/>
      <c r="AR130" s="827"/>
      <c r="AS130" s="827"/>
      <c r="AT130" s="827"/>
      <c r="AU130" s="827"/>
      <c r="AV130" s="827"/>
      <c r="AW130" s="827"/>
      <c r="AX130" s="827"/>
      <c r="AY130" s="827"/>
      <c r="AZ130" s="827"/>
      <c r="BA130" s="827"/>
      <c r="BB130" s="827"/>
      <c r="BC130" s="827"/>
      <c r="BD130" s="827"/>
      <c r="BE130" s="827"/>
      <c r="BF130" s="827"/>
      <c r="BG130" s="827"/>
      <c r="BH130" s="827"/>
      <c r="BI130" s="827"/>
      <c r="BJ130" s="827"/>
      <c r="BK130" s="827"/>
      <c r="BL130" s="827"/>
      <c r="BM130" s="827"/>
      <c r="BN130" s="827"/>
      <c r="BO130" s="827"/>
      <c r="BP130" s="827"/>
      <c r="BQ130" s="827"/>
      <c r="BR130" s="827"/>
      <c r="BS130" s="827"/>
      <c r="BT130" s="925"/>
      <c r="BU130" s="926"/>
      <c r="BV130" s="927"/>
      <c r="BW130" s="927"/>
      <c r="BX130" s="918"/>
      <c r="BY130" s="918"/>
      <c r="BZ130" s="918"/>
      <c r="CA130" s="918"/>
      <c r="CB130" s="588"/>
      <c r="CC130" s="909"/>
      <c r="CD130" s="910"/>
      <c r="CE130" s="910"/>
      <c r="CF130" s="910"/>
      <c r="CG130" s="911"/>
      <c r="CH130" s="911"/>
      <c r="CI130" s="911"/>
      <c r="CJ130" s="912"/>
      <c r="CK130" s="912"/>
      <c r="CL130" s="912"/>
      <c r="CM130" s="912"/>
      <c r="CN130" s="912"/>
      <c r="CO130" s="912"/>
      <c r="CP130" s="912"/>
      <c r="CQ130" s="912"/>
      <c r="CR130" s="913"/>
      <c r="CS130" s="913"/>
      <c r="CT130" s="912"/>
      <c r="CU130" s="912"/>
      <c r="CV130" s="912"/>
      <c r="CW130" s="914"/>
      <c r="CX130" s="914"/>
      <c r="CY130" s="914"/>
      <c r="CZ130" s="914"/>
      <c r="DA130" s="914"/>
      <c r="DB130" s="914"/>
      <c r="DC130" s="914"/>
      <c r="DD130" s="914"/>
      <c r="DE130" s="914"/>
      <c r="DF130" s="914"/>
      <c r="DG130" s="915"/>
      <c r="DH130" s="915"/>
      <c r="DI130" s="915"/>
      <c r="DJ130" s="914"/>
      <c r="DK130" s="914"/>
      <c r="DL130" s="914"/>
      <c r="DM130" s="914"/>
      <c r="DN130" s="914"/>
      <c r="DO130" s="914"/>
      <c r="DP130" s="914"/>
    </row>
    <row r="131" spans="1:120" s="916" customFormat="1">
      <c r="A131" s="894"/>
      <c r="B131" s="895"/>
      <c r="C131" s="894"/>
      <c r="D131" s="894"/>
      <c r="E131" s="917"/>
      <c r="F131" s="896"/>
      <c r="G131" s="896"/>
      <c r="H131" s="897"/>
      <c r="I131" s="898"/>
      <c r="J131" s="897"/>
      <c r="K131" s="897"/>
      <c r="L131" s="897"/>
      <c r="M131" s="898"/>
      <c r="N131" s="897"/>
      <c r="O131" s="897"/>
      <c r="P131" s="899"/>
      <c r="Q131" s="899"/>
      <c r="R131" s="900"/>
      <c r="S131" s="901"/>
      <c r="T131" s="894"/>
      <c r="U131" s="894"/>
      <c r="V131" s="894"/>
      <c r="W131" s="894"/>
      <c r="X131" s="902"/>
      <c r="Y131" s="894"/>
      <c r="Z131" s="636"/>
      <c r="AA131" s="745"/>
      <c r="AB131" s="827"/>
      <c r="AC131" s="827"/>
      <c r="AD131" s="745"/>
      <c r="AE131" s="827"/>
      <c r="AF131" s="827"/>
      <c r="AG131" s="745"/>
      <c r="AH131" s="827"/>
      <c r="AI131" s="745"/>
      <c r="AJ131" s="827"/>
      <c r="AK131" s="827"/>
      <c r="AL131" s="745"/>
      <c r="AM131" s="827"/>
      <c r="AN131" s="827"/>
      <c r="AO131" s="827"/>
      <c r="AP131" s="827"/>
      <c r="AQ131" s="827"/>
      <c r="AR131" s="827"/>
      <c r="AS131" s="827"/>
      <c r="AT131" s="827"/>
      <c r="AU131" s="827"/>
      <c r="AV131" s="827"/>
      <c r="AW131" s="827"/>
      <c r="AX131" s="827"/>
      <c r="AY131" s="827"/>
      <c r="AZ131" s="827"/>
      <c r="BA131" s="827"/>
      <c r="BB131" s="827"/>
      <c r="BC131" s="827"/>
      <c r="BD131" s="827"/>
      <c r="BE131" s="827"/>
      <c r="BF131" s="827"/>
      <c r="BG131" s="827"/>
      <c r="BH131" s="827"/>
      <c r="BI131" s="827"/>
      <c r="BJ131" s="827"/>
      <c r="BK131" s="827"/>
      <c r="BL131" s="827"/>
      <c r="BM131" s="827"/>
      <c r="BN131" s="827"/>
      <c r="BO131" s="827"/>
      <c r="BP131" s="827"/>
      <c r="BQ131" s="827"/>
      <c r="BR131" s="827"/>
      <c r="BS131" s="827"/>
      <c r="BT131" s="925"/>
      <c r="BU131" s="926"/>
      <c r="BV131" s="927"/>
      <c r="BW131" s="927"/>
      <c r="BX131" s="918"/>
      <c r="BY131" s="918"/>
      <c r="BZ131" s="918"/>
      <c r="CA131" s="918"/>
      <c r="CB131" s="588"/>
      <c r="CC131" s="909"/>
      <c r="CD131" s="910"/>
      <c r="CE131" s="910"/>
      <c r="CF131" s="910"/>
      <c r="CG131" s="911"/>
      <c r="CH131" s="911"/>
      <c r="CI131" s="911"/>
      <c r="CJ131" s="912"/>
      <c r="CK131" s="912"/>
      <c r="CL131" s="912"/>
      <c r="CM131" s="912"/>
      <c r="CN131" s="912"/>
      <c r="CO131" s="912"/>
      <c r="CP131" s="912"/>
      <c r="CQ131" s="912"/>
      <c r="CR131" s="913"/>
      <c r="CS131" s="913"/>
      <c r="CT131" s="912"/>
      <c r="CU131" s="912"/>
      <c r="CV131" s="912"/>
      <c r="CW131" s="914"/>
      <c r="CX131" s="914"/>
      <c r="CY131" s="914"/>
      <c r="CZ131" s="914"/>
      <c r="DA131" s="914"/>
      <c r="DB131" s="914"/>
      <c r="DC131" s="914"/>
      <c r="DD131" s="914"/>
      <c r="DE131" s="914"/>
      <c r="DF131" s="914"/>
      <c r="DG131" s="915"/>
      <c r="DH131" s="915"/>
      <c r="DI131" s="915"/>
      <c r="DJ131" s="914"/>
      <c r="DK131" s="914"/>
      <c r="DL131" s="914"/>
      <c r="DM131" s="914"/>
      <c r="DN131" s="914"/>
      <c r="DO131" s="914"/>
      <c r="DP131" s="914"/>
    </row>
    <row r="132" spans="1:120" s="916" customFormat="1">
      <c r="A132" s="894"/>
      <c r="B132" s="895"/>
      <c r="C132" s="894"/>
      <c r="D132" s="894"/>
      <c r="E132" s="917"/>
      <c r="F132" s="896"/>
      <c r="G132" s="896"/>
      <c r="H132" s="897"/>
      <c r="I132" s="898"/>
      <c r="J132" s="897"/>
      <c r="K132" s="897"/>
      <c r="L132" s="897"/>
      <c r="M132" s="898"/>
      <c r="N132" s="897"/>
      <c r="O132" s="897"/>
      <c r="P132" s="899"/>
      <c r="Q132" s="899"/>
      <c r="R132" s="900"/>
      <c r="S132" s="901"/>
      <c r="T132" s="894"/>
      <c r="U132" s="894"/>
      <c r="V132" s="894"/>
      <c r="W132" s="894"/>
      <c r="X132" s="902"/>
      <c r="Y132" s="894"/>
      <c r="Z132" s="636"/>
      <c r="AA132" s="745"/>
      <c r="AB132" s="827"/>
      <c r="AC132" s="827"/>
      <c r="AD132" s="745"/>
      <c r="AE132" s="827"/>
      <c r="AF132" s="827"/>
      <c r="AG132" s="745"/>
      <c r="AH132" s="827"/>
      <c r="AI132" s="745"/>
      <c r="AJ132" s="827"/>
      <c r="AK132" s="827"/>
      <c r="AL132" s="745"/>
      <c r="AM132" s="827"/>
      <c r="AN132" s="827"/>
      <c r="AO132" s="827"/>
      <c r="AP132" s="827"/>
      <c r="AQ132" s="827"/>
      <c r="AR132" s="827"/>
      <c r="AS132" s="827"/>
      <c r="AT132" s="827"/>
      <c r="AU132" s="827"/>
      <c r="AV132" s="827"/>
      <c r="AW132" s="827"/>
      <c r="AX132" s="827"/>
      <c r="AY132" s="827"/>
      <c r="AZ132" s="827"/>
      <c r="BA132" s="827"/>
      <c r="BB132" s="827"/>
      <c r="BC132" s="827"/>
      <c r="BD132" s="827"/>
      <c r="BE132" s="827"/>
      <c r="BF132" s="827"/>
      <c r="BG132" s="827"/>
      <c r="BH132" s="827"/>
      <c r="BI132" s="827"/>
      <c r="BJ132" s="827"/>
      <c r="BK132" s="827"/>
      <c r="BL132" s="827"/>
      <c r="BM132" s="827"/>
      <c r="BN132" s="827"/>
      <c r="BO132" s="827"/>
      <c r="BP132" s="827"/>
      <c r="BQ132" s="827"/>
      <c r="BR132" s="827"/>
      <c r="BS132" s="827"/>
      <c r="BT132" s="925"/>
      <c r="BU132" s="926"/>
      <c r="BV132" s="927"/>
      <c r="BW132" s="927"/>
      <c r="BX132" s="918"/>
      <c r="BY132" s="918"/>
      <c r="BZ132" s="918"/>
      <c r="CA132" s="918"/>
      <c r="CB132" s="588"/>
      <c r="CC132" s="909"/>
      <c r="CD132" s="910"/>
      <c r="CE132" s="910"/>
      <c r="CF132" s="910"/>
      <c r="CG132" s="911"/>
      <c r="CH132" s="911"/>
      <c r="CI132" s="911"/>
      <c r="CJ132" s="912"/>
      <c r="CK132" s="912"/>
      <c r="CL132" s="912"/>
      <c r="CM132" s="912"/>
      <c r="CN132" s="912"/>
      <c r="CO132" s="912"/>
      <c r="CP132" s="912"/>
      <c r="CQ132" s="912"/>
      <c r="CR132" s="913"/>
      <c r="CS132" s="913"/>
      <c r="CT132" s="912"/>
      <c r="CU132" s="912"/>
      <c r="CV132" s="912"/>
      <c r="CW132" s="914"/>
      <c r="CX132" s="914"/>
      <c r="CY132" s="914"/>
      <c r="CZ132" s="914"/>
      <c r="DA132" s="914"/>
      <c r="DB132" s="914"/>
      <c r="DC132" s="914"/>
      <c r="DD132" s="914"/>
      <c r="DE132" s="914"/>
      <c r="DF132" s="914"/>
      <c r="DG132" s="915"/>
      <c r="DH132" s="915"/>
      <c r="DI132" s="915"/>
      <c r="DJ132" s="914"/>
      <c r="DK132" s="914"/>
      <c r="DL132" s="914"/>
      <c r="DM132" s="914"/>
      <c r="DN132" s="914"/>
      <c r="DO132" s="914"/>
      <c r="DP132" s="914"/>
    </row>
    <row r="133" spans="1:120" s="916" customFormat="1">
      <c r="A133" s="914"/>
      <c r="B133" s="935"/>
      <c r="C133" s="914"/>
      <c r="D133" s="914"/>
      <c r="E133" s="936"/>
      <c r="F133" s="182"/>
      <c r="G133" s="182"/>
      <c r="H133" s="937"/>
      <c r="I133" s="938"/>
      <c r="J133" s="937"/>
      <c r="K133" s="937"/>
      <c r="L133" s="937"/>
      <c r="M133" s="938"/>
      <c r="N133" s="937"/>
      <c r="O133" s="937"/>
      <c r="P133" s="939"/>
      <c r="Q133" s="939"/>
      <c r="R133" s="940"/>
      <c r="S133" s="915"/>
      <c r="T133" s="914"/>
      <c r="U133" s="914"/>
      <c r="V133" s="914"/>
      <c r="W133" s="914"/>
      <c r="X133" s="941"/>
      <c r="Y133" s="914"/>
      <c r="Z133" s="942"/>
      <c r="AA133" s="943"/>
      <c r="AB133" s="944"/>
      <c r="AC133" s="944"/>
      <c r="AD133" s="945"/>
      <c r="AE133" s="944"/>
      <c r="AF133" s="944"/>
      <c r="AG133" s="943"/>
      <c r="AH133" s="944"/>
      <c r="AI133" s="944"/>
      <c r="AJ133" s="944"/>
      <c r="AK133" s="944"/>
      <c r="AL133" s="944"/>
      <c r="AM133" s="946"/>
      <c r="AN133" s="946"/>
      <c r="AO133" s="946"/>
      <c r="AP133" s="946"/>
      <c r="AQ133" s="946"/>
      <c r="AR133" s="946"/>
      <c r="AS133" s="946"/>
      <c r="AT133" s="946"/>
      <c r="AU133" s="946"/>
      <c r="AV133" s="946"/>
      <c r="AW133" s="946"/>
      <c r="AX133" s="946"/>
      <c r="AY133" s="946"/>
      <c r="AZ133" s="946"/>
      <c r="BA133" s="946"/>
      <c r="BB133" s="946"/>
      <c r="BC133" s="946"/>
      <c r="BD133" s="946"/>
      <c r="BE133" s="946"/>
      <c r="BF133" s="946"/>
      <c r="BG133" s="946"/>
      <c r="BH133" s="946"/>
      <c r="BI133" s="946"/>
      <c r="BJ133" s="946"/>
      <c r="BK133" s="946"/>
      <c r="BL133" s="946"/>
      <c r="BM133" s="946"/>
      <c r="BN133" s="946"/>
      <c r="BO133" s="946"/>
      <c r="BP133" s="946"/>
      <c r="BQ133" s="946"/>
      <c r="BR133" s="946"/>
      <c r="BS133" s="946"/>
      <c r="BT133" s="865"/>
      <c r="BU133" s="584"/>
      <c r="BV133" s="585"/>
      <c r="BW133" s="585"/>
      <c r="BX133" s="918"/>
      <c r="BY133" s="918"/>
      <c r="BZ133" s="918"/>
      <c r="CA133" s="918"/>
      <c r="CB133" s="588"/>
      <c r="CC133" s="909"/>
      <c r="CD133" s="910"/>
      <c r="CE133" s="910"/>
      <c r="CF133" s="910"/>
      <c r="CG133" s="911"/>
      <c r="CH133" s="911"/>
      <c r="CI133" s="911"/>
      <c r="CJ133" s="912"/>
      <c r="CK133" s="912"/>
      <c r="CL133" s="912"/>
      <c r="CM133" s="912"/>
      <c r="CN133" s="912"/>
      <c r="CO133" s="912"/>
      <c r="CP133" s="912"/>
      <c r="CQ133" s="912"/>
      <c r="CR133" s="913"/>
      <c r="CS133" s="913"/>
      <c r="CT133" s="912"/>
      <c r="CU133" s="912"/>
      <c r="CV133" s="912"/>
      <c r="CW133" s="914"/>
      <c r="CX133" s="914"/>
      <c r="CY133" s="914"/>
      <c r="CZ133" s="914"/>
      <c r="DA133" s="914"/>
      <c r="DB133" s="914"/>
      <c r="DC133" s="914"/>
      <c r="DD133" s="914"/>
      <c r="DE133" s="914"/>
      <c r="DF133" s="914"/>
      <c r="DG133" s="915"/>
      <c r="DH133" s="915"/>
      <c r="DI133" s="915"/>
      <c r="DJ133" s="914"/>
      <c r="DK133" s="914"/>
      <c r="DL133" s="914"/>
      <c r="DM133" s="914"/>
      <c r="DN133" s="914"/>
      <c r="DO133" s="914"/>
      <c r="DP133" s="914"/>
    </row>
    <row r="134" spans="1:120">
      <c r="B134" s="566"/>
      <c r="C134" s="565"/>
      <c r="E134" s="567"/>
      <c r="F134" s="568"/>
      <c r="G134" s="568"/>
      <c r="H134" s="569"/>
      <c r="I134" s="570"/>
      <c r="J134" s="569"/>
      <c r="K134" s="569"/>
      <c r="L134" s="569"/>
      <c r="M134" s="570"/>
      <c r="N134" s="569"/>
      <c r="O134" s="569"/>
      <c r="P134" s="571"/>
      <c r="Q134" s="571"/>
      <c r="R134" s="947"/>
      <c r="S134" s="870"/>
      <c r="AA134" s="891"/>
      <c r="AB134" s="169"/>
      <c r="AC134" s="169"/>
      <c r="AD134" s="168"/>
      <c r="AE134" s="169"/>
      <c r="AF134" s="169"/>
      <c r="AG134" s="169"/>
      <c r="AH134" s="169"/>
      <c r="AI134" s="168"/>
      <c r="BT134" s="948"/>
      <c r="BX134" s="949"/>
      <c r="BY134" s="949"/>
      <c r="BZ134" s="949"/>
      <c r="CA134" s="949"/>
      <c r="CB134" s="918"/>
      <c r="CC134" s="588"/>
      <c r="CD134" s="588"/>
      <c r="CE134" s="589"/>
      <c r="CF134" s="589"/>
      <c r="CG134" s="589"/>
      <c r="CH134" s="561"/>
      <c r="CI134" s="561"/>
      <c r="CJ134" s="554"/>
      <c r="CK134" s="554"/>
      <c r="CL134" s="554"/>
      <c r="CM134" s="156"/>
      <c r="CN134" s="156"/>
      <c r="CO134" s="156"/>
      <c r="CP134" s="156"/>
      <c r="CQ134" s="156"/>
      <c r="CR134" s="167"/>
      <c r="CS134" s="167"/>
      <c r="CT134" s="156"/>
      <c r="CU134" s="156"/>
      <c r="CV134" s="156"/>
      <c r="DG134" s="870"/>
      <c r="DH134" s="870"/>
      <c r="DI134" s="870"/>
    </row>
    <row r="135" spans="1:120">
      <c r="B135" s="566"/>
      <c r="C135" s="565"/>
      <c r="E135" s="567"/>
      <c r="F135" s="568"/>
      <c r="G135" s="568"/>
      <c r="H135" s="569"/>
      <c r="I135" s="570"/>
      <c r="J135" s="569"/>
      <c r="K135" s="569"/>
      <c r="L135" s="569"/>
      <c r="M135" s="570"/>
      <c r="N135" s="569"/>
      <c r="O135" s="569"/>
      <c r="P135" s="571"/>
      <c r="Q135" s="571"/>
      <c r="R135" s="947"/>
      <c r="S135" s="870"/>
      <c r="AA135" s="891"/>
      <c r="AB135" s="169"/>
      <c r="AC135" s="169"/>
      <c r="AD135" s="168"/>
      <c r="AE135" s="169"/>
      <c r="AF135" s="169"/>
      <c r="AG135" s="169"/>
      <c r="AH135" s="169"/>
      <c r="AI135" s="168"/>
      <c r="BT135" s="948"/>
      <c r="BX135" s="949"/>
      <c r="BY135" s="949"/>
      <c r="BZ135" s="949"/>
      <c r="CA135" s="949"/>
      <c r="CB135" s="918"/>
      <c r="CC135" s="588"/>
      <c r="CD135" s="588"/>
      <c r="CE135" s="589"/>
      <c r="CF135" s="589"/>
      <c r="CG135" s="589"/>
      <c r="CH135" s="561"/>
      <c r="CI135" s="561"/>
      <c r="CJ135" s="554"/>
      <c r="CK135" s="554"/>
      <c r="CL135" s="554"/>
      <c r="CM135" s="156"/>
      <c r="CN135" s="156"/>
      <c r="CO135" s="156"/>
      <c r="CP135" s="156"/>
      <c r="CQ135" s="156"/>
      <c r="CR135" s="167"/>
      <c r="CS135" s="167"/>
      <c r="CT135" s="156"/>
      <c r="CU135" s="156"/>
      <c r="CV135" s="156"/>
      <c r="DG135" s="870"/>
      <c r="DH135" s="870"/>
      <c r="DI135" s="870"/>
    </row>
    <row r="136" spans="1:120">
      <c r="B136" s="566"/>
      <c r="C136" s="565"/>
      <c r="E136" s="567"/>
      <c r="F136" s="568"/>
      <c r="G136" s="568"/>
      <c r="H136" s="569"/>
      <c r="I136" s="570"/>
      <c r="J136" s="569"/>
      <c r="K136" s="569"/>
      <c r="L136" s="569"/>
      <c r="M136" s="570"/>
      <c r="N136" s="569"/>
      <c r="O136" s="569"/>
      <c r="P136" s="571"/>
      <c r="Q136" s="571"/>
      <c r="R136" s="947"/>
      <c r="S136" s="870"/>
      <c r="AA136" s="891"/>
      <c r="AB136" s="169"/>
      <c r="AC136" s="169"/>
      <c r="AD136" s="168"/>
      <c r="AE136" s="169"/>
      <c r="AF136" s="169"/>
      <c r="AG136" s="169"/>
      <c r="AH136" s="169"/>
      <c r="AI136" s="168"/>
      <c r="CB136" s="640"/>
      <c r="CC136" s="588"/>
      <c r="CD136" s="588"/>
      <c r="CE136" s="589"/>
      <c r="CF136" s="589"/>
      <c r="CG136" s="589"/>
      <c r="CH136" s="561"/>
      <c r="CI136" s="561"/>
      <c r="CJ136" s="554"/>
      <c r="CK136" s="554"/>
      <c r="CL136" s="554"/>
      <c r="CM136" s="156"/>
      <c r="CN136" s="156"/>
      <c r="CO136" s="156"/>
      <c r="CP136" s="156"/>
      <c r="CQ136" s="156"/>
      <c r="CR136" s="167"/>
      <c r="CS136" s="167"/>
      <c r="CT136" s="156"/>
      <c r="CU136" s="156"/>
      <c r="CV136" s="156"/>
      <c r="DG136" s="870"/>
      <c r="DH136" s="870"/>
      <c r="DI136" s="870"/>
    </row>
    <row r="137" spans="1:120">
      <c r="B137" s="566"/>
      <c r="C137" s="565"/>
      <c r="E137" s="567"/>
      <c r="F137" s="568"/>
      <c r="G137" s="568"/>
      <c r="H137" s="569"/>
      <c r="I137" s="570"/>
      <c r="J137" s="569"/>
      <c r="K137" s="569"/>
      <c r="L137" s="569"/>
      <c r="M137" s="570"/>
      <c r="N137" s="569"/>
      <c r="O137" s="569"/>
      <c r="P137" s="571"/>
      <c r="Q137" s="571"/>
      <c r="R137" s="947"/>
      <c r="S137" s="870"/>
      <c r="AA137" s="891"/>
      <c r="AB137" s="169"/>
      <c r="AC137" s="169"/>
      <c r="AD137" s="168"/>
      <c r="AE137" s="169"/>
      <c r="AF137" s="169"/>
      <c r="AG137" s="169"/>
      <c r="AH137" s="169"/>
      <c r="AI137" s="168"/>
      <c r="CB137" s="640"/>
      <c r="CC137" s="588"/>
      <c r="CD137" s="588"/>
      <c r="CE137" s="589"/>
      <c r="CF137" s="589"/>
      <c r="CG137" s="589"/>
      <c r="CH137" s="561"/>
      <c r="CI137" s="561"/>
      <c r="CJ137" s="554"/>
      <c r="CK137" s="554"/>
      <c r="CL137" s="554"/>
      <c r="CM137" s="156"/>
      <c r="CN137" s="156"/>
      <c r="CO137" s="156"/>
      <c r="CP137" s="156"/>
      <c r="CQ137" s="156"/>
      <c r="CR137" s="167"/>
      <c r="CS137" s="167"/>
      <c r="CT137" s="156"/>
      <c r="CU137" s="156"/>
      <c r="CV137" s="156"/>
      <c r="DG137" s="870"/>
      <c r="DH137" s="870"/>
      <c r="DI137" s="870"/>
    </row>
    <row r="138" spans="1:120">
      <c r="B138" s="566"/>
      <c r="C138" s="565"/>
      <c r="E138" s="567"/>
      <c r="F138" s="568"/>
      <c r="G138" s="568"/>
      <c r="H138" s="569"/>
      <c r="I138" s="570"/>
      <c r="J138" s="569"/>
      <c r="K138" s="569"/>
      <c r="L138" s="569"/>
      <c r="M138" s="570"/>
      <c r="N138" s="569"/>
      <c r="O138" s="569"/>
      <c r="P138" s="571"/>
      <c r="Q138" s="571"/>
      <c r="R138" s="947"/>
      <c r="S138" s="870"/>
      <c r="AA138" s="891"/>
      <c r="AB138" s="169"/>
      <c r="AC138" s="169"/>
      <c r="AD138" s="168"/>
      <c r="AE138" s="169"/>
      <c r="AF138" s="169"/>
      <c r="AG138" s="169"/>
      <c r="AH138" s="169"/>
      <c r="AI138" s="168"/>
      <c r="CB138" s="640"/>
      <c r="CC138" s="588"/>
      <c r="CD138" s="588"/>
      <c r="CE138" s="589"/>
      <c r="CF138" s="589"/>
      <c r="CG138" s="589"/>
      <c r="CH138" s="561"/>
      <c r="CI138" s="561"/>
      <c r="CJ138" s="554"/>
      <c r="CK138" s="554"/>
      <c r="CL138" s="554"/>
      <c r="CM138" s="156"/>
      <c r="CN138" s="156"/>
      <c r="CO138" s="156"/>
      <c r="CP138" s="156"/>
      <c r="CQ138" s="156"/>
      <c r="CR138" s="167"/>
      <c r="CS138" s="167"/>
      <c r="CT138" s="156"/>
      <c r="CU138" s="156"/>
      <c r="CV138" s="156"/>
      <c r="DG138" s="870"/>
      <c r="DH138" s="870"/>
      <c r="DI138" s="870"/>
    </row>
    <row r="139" spans="1:120">
      <c r="B139" s="566"/>
      <c r="C139" s="565"/>
      <c r="E139" s="567"/>
      <c r="F139" s="568"/>
      <c r="G139" s="568"/>
      <c r="H139" s="569"/>
      <c r="I139" s="570"/>
      <c r="J139" s="569"/>
      <c r="K139" s="569"/>
      <c r="L139" s="569"/>
      <c r="M139" s="570"/>
      <c r="N139" s="569"/>
      <c r="O139" s="569"/>
      <c r="P139" s="571"/>
      <c r="Q139" s="571"/>
      <c r="R139" s="947"/>
      <c r="S139" s="870"/>
      <c r="AA139" s="891"/>
      <c r="AB139" s="169"/>
      <c r="AC139" s="169"/>
      <c r="AD139" s="168"/>
      <c r="AE139" s="169"/>
      <c r="AF139" s="169"/>
      <c r="AG139" s="169"/>
      <c r="AH139" s="169"/>
      <c r="AI139" s="168"/>
      <c r="CB139" s="640"/>
      <c r="CC139" s="588"/>
      <c r="CD139" s="588"/>
      <c r="CE139" s="589"/>
      <c r="CF139" s="589"/>
      <c r="CG139" s="589"/>
      <c r="CH139" s="561"/>
      <c r="CI139" s="561"/>
      <c r="CJ139" s="554"/>
      <c r="CK139" s="554"/>
      <c r="CL139" s="554"/>
      <c r="CM139" s="156"/>
      <c r="CN139" s="156"/>
      <c r="CO139" s="156"/>
      <c r="CP139" s="156"/>
      <c r="CQ139" s="156"/>
      <c r="CR139" s="167"/>
      <c r="CS139" s="167"/>
      <c r="CT139" s="156"/>
      <c r="CU139" s="156"/>
      <c r="CV139" s="156"/>
      <c r="DG139" s="870"/>
      <c r="DH139" s="870"/>
      <c r="DI139" s="870"/>
    </row>
    <row r="140" spans="1:120">
      <c r="B140" s="566"/>
      <c r="C140" s="565"/>
      <c r="E140" s="567"/>
      <c r="F140" s="568"/>
      <c r="G140" s="568"/>
      <c r="H140" s="569"/>
      <c r="I140" s="570"/>
      <c r="J140" s="569"/>
      <c r="K140" s="569"/>
      <c r="L140" s="569"/>
      <c r="M140" s="570"/>
      <c r="N140" s="569"/>
      <c r="O140" s="569"/>
      <c r="P140" s="571"/>
      <c r="Q140" s="571"/>
      <c r="R140" s="947"/>
      <c r="S140" s="870"/>
      <c r="AA140" s="891"/>
      <c r="AB140" s="169"/>
      <c r="AC140" s="169"/>
      <c r="AD140" s="168"/>
      <c r="AE140" s="169"/>
      <c r="AF140" s="169"/>
      <c r="AG140" s="169"/>
      <c r="AH140" s="169"/>
      <c r="AI140" s="168"/>
      <c r="CB140" s="640"/>
      <c r="CC140" s="588"/>
      <c r="CD140" s="588"/>
      <c r="CE140" s="589"/>
      <c r="CF140" s="589"/>
      <c r="CG140" s="589"/>
      <c r="CH140" s="561"/>
      <c r="CI140" s="561"/>
      <c r="CJ140" s="554"/>
      <c r="CK140" s="554"/>
      <c r="CL140" s="554"/>
      <c r="CM140" s="156"/>
      <c r="CN140" s="156"/>
      <c r="CO140" s="156"/>
      <c r="CP140" s="156"/>
      <c r="CQ140" s="156"/>
      <c r="CR140" s="167"/>
      <c r="CS140" s="167"/>
      <c r="CT140" s="156"/>
      <c r="CU140" s="156"/>
      <c r="CV140" s="156"/>
      <c r="DG140" s="870"/>
      <c r="DH140" s="870"/>
      <c r="DI140" s="870"/>
    </row>
    <row r="141" spans="1:120">
      <c r="B141" s="566"/>
      <c r="C141" s="565"/>
      <c r="E141" s="567"/>
      <c r="F141" s="568"/>
      <c r="G141" s="568"/>
      <c r="H141" s="569"/>
      <c r="I141" s="570"/>
      <c r="J141" s="569"/>
      <c r="K141" s="569"/>
      <c r="L141" s="569"/>
      <c r="M141" s="570"/>
      <c r="N141" s="569"/>
      <c r="O141" s="569"/>
      <c r="P141" s="571"/>
      <c r="Q141" s="571"/>
      <c r="R141" s="947"/>
      <c r="S141" s="870"/>
      <c r="AA141" s="891"/>
      <c r="AB141" s="169"/>
      <c r="AC141" s="169"/>
      <c r="AD141" s="168"/>
      <c r="AE141" s="169"/>
      <c r="AF141" s="169"/>
      <c r="AG141" s="169"/>
      <c r="AH141" s="169"/>
      <c r="AI141" s="168"/>
      <c r="CB141" s="640"/>
      <c r="CC141" s="588"/>
      <c r="CD141" s="588"/>
      <c r="CE141" s="589"/>
      <c r="CF141" s="589"/>
      <c r="CG141" s="589"/>
      <c r="CH141" s="561"/>
      <c r="CI141" s="561"/>
      <c r="CJ141" s="554"/>
      <c r="CK141" s="554"/>
      <c r="CL141" s="554"/>
      <c r="CM141" s="156"/>
      <c r="CN141" s="156"/>
      <c r="CO141" s="156"/>
      <c r="CP141" s="156"/>
      <c r="CQ141" s="156"/>
      <c r="CR141" s="167"/>
      <c r="CS141" s="167"/>
      <c r="CT141" s="156"/>
      <c r="CU141" s="156"/>
      <c r="CV141" s="156"/>
      <c r="DG141" s="870"/>
      <c r="DH141" s="870"/>
      <c r="DI141" s="870"/>
    </row>
    <row r="142" spans="1:120">
      <c r="B142" s="566"/>
      <c r="C142" s="565"/>
      <c r="E142" s="567"/>
      <c r="F142" s="568"/>
      <c r="G142" s="568"/>
      <c r="H142" s="569"/>
      <c r="I142" s="570"/>
      <c r="J142" s="569"/>
      <c r="K142" s="569"/>
      <c r="L142" s="569"/>
      <c r="M142" s="570"/>
      <c r="N142" s="569"/>
      <c r="O142" s="569"/>
      <c r="P142" s="571"/>
      <c r="Q142" s="571"/>
      <c r="R142" s="947"/>
      <c r="S142" s="870"/>
      <c r="AA142" s="891"/>
      <c r="AB142" s="169"/>
      <c r="AC142" s="169"/>
      <c r="AD142" s="168"/>
      <c r="AE142" s="169"/>
      <c r="AF142" s="169"/>
      <c r="AG142" s="169"/>
      <c r="AH142" s="169"/>
      <c r="AI142" s="168"/>
      <c r="CB142" s="640"/>
      <c r="CC142" s="588"/>
      <c r="CD142" s="588"/>
      <c r="CE142" s="589"/>
      <c r="CF142" s="589"/>
      <c r="CG142" s="589"/>
      <c r="CH142" s="561"/>
      <c r="CI142" s="561"/>
      <c r="CJ142" s="554"/>
      <c r="CK142" s="554"/>
      <c r="CL142" s="554"/>
      <c r="CM142" s="156"/>
      <c r="CN142" s="156"/>
      <c r="CO142" s="156"/>
      <c r="CP142" s="156"/>
      <c r="CQ142" s="156"/>
      <c r="CR142" s="167"/>
      <c r="CS142" s="167"/>
      <c r="CT142" s="156"/>
      <c r="CU142" s="156"/>
      <c r="CV142" s="156"/>
      <c r="DG142" s="870"/>
      <c r="DH142" s="870"/>
      <c r="DI142" s="870"/>
    </row>
    <row r="143" spans="1:120">
      <c r="B143" s="566"/>
      <c r="C143" s="565"/>
      <c r="E143" s="567"/>
      <c r="F143" s="568"/>
      <c r="G143" s="568"/>
      <c r="H143" s="569"/>
      <c r="I143" s="570"/>
      <c r="J143" s="569"/>
      <c r="K143" s="569"/>
      <c r="L143" s="569"/>
      <c r="M143" s="570"/>
      <c r="N143" s="569"/>
      <c r="O143" s="569"/>
      <c r="P143" s="571"/>
      <c r="Q143" s="571"/>
      <c r="R143" s="947"/>
      <c r="S143" s="870"/>
      <c r="AA143" s="891"/>
      <c r="AB143" s="169"/>
      <c r="AC143" s="169"/>
      <c r="AD143" s="168"/>
      <c r="AE143" s="169"/>
      <c r="AF143" s="169"/>
      <c r="AG143" s="169"/>
      <c r="AH143" s="169"/>
      <c r="AI143" s="168"/>
      <c r="CB143" s="640"/>
      <c r="CC143" s="588"/>
      <c r="CD143" s="588"/>
      <c r="CE143" s="589"/>
      <c r="CF143" s="589"/>
      <c r="CG143" s="589"/>
      <c r="CH143" s="561"/>
      <c r="CI143" s="561"/>
      <c r="CJ143" s="554"/>
      <c r="CK143" s="554"/>
      <c r="CL143" s="554"/>
      <c r="CM143" s="156"/>
      <c r="CN143" s="156"/>
      <c r="CO143" s="156"/>
      <c r="CP143" s="156"/>
      <c r="CQ143" s="156"/>
      <c r="CR143" s="167"/>
      <c r="CS143" s="167"/>
      <c r="CT143" s="156"/>
      <c r="CU143" s="156"/>
      <c r="CV143" s="156"/>
      <c r="DG143" s="870"/>
      <c r="DH143" s="870"/>
      <c r="DI143" s="870"/>
    </row>
    <row r="144" spans="1:120">
      <c r="B144" s="566"/>
      <c r="C144" s="565"/>
      <c r="E144" s="567"/>
      <c r="F144" s="568"/>
      <c r="G144" s="568"/>
      <c r="H144" s="569"/>
      <c r="I144" s="570"/>
      <c r="J144" s="569"/>
      <c r="K144" s="569"/>
      <c r="L144" s="569"/>
      <c r="M144" s="570"/>
      <c r="N144" s="569"/>
      <c r="O144" s="569"/>
      <c r="P144" s="571"/>
      <c r="Q144" s="571"/>
      <c r="R144" s="947"/>
      <c r="S144" s="870"/>
      <c r="AA144" s="891"/>
      <c r="AB144" s="169"/>
      <c r="AC144" s="169"/>
      <c r="AD144" s="168"/>
      <c r="AE144" s="169"/>
      <c r="AF144" s="169"/>
      <c r="AG144" s="169"/>
      <c r="AH144" s="169"/>
      <c r="AI144" s="168"/>
      <c r="CB144" s="640"/>
      <c r="CC144" s="588"/>
      <c r="CD144" s="588"/>
      <c r="CE144" s="589"/>
      <c r="CF144" s="589"/>
      <c r="CG144" s="589"/>
      <c r="CH144" s="561"/>
      <c r="CI144" s="561"/>
      <c r="CJ144" s="554"/>
      <c r="CK144" s="554"/>
      <c r="CL144" s="554"/>
      <c r="CM144" s="156"/>
      <c r="CN144" s="156"/>
      <c r="CO144" s="156"/>
      <c r="CP144" s="156"/>
      <c r="CQ144" s="156"/>
      <c r="CR144" s="167"/>
      <c r="CS144" s="167"/>
      <c r="CT144" s="156"/>
      <c r="CU144" s="156"/>
      <c r="CV144" s="156"/>
      <c r="DG144" s="870"/>
      <c r="DH144" s="870"/>
      <c r="DI144" s="870"/>
    </row>
    <row r="145" spans="2:113">
      <c r="B145" s="566"/>
      <c r="C145" s="565"/>
      <c r="E145" s="567"/>
      <c r="F145" s="568"/>
      <c r="G145" s="568"/>
      <c r="H145" s="569"/>
      <c r="I145" s="570"/>
      <c r="J145" s="569"/>
      <c r="K145" s="569"/>
      <c r="L145" s="569"/>
      <c r="M145" s="570"/>
      <c r="N145" s="569"/>
      <c r="O145" s="569"/>
      <c r="P145" s="571"/>
      <c r="Q145" s="571"/>
      <c r="R145" s="947"/>
      <c r="S145" s="870"/>
      <c r="CB145" s="640"/>
      <c r="CC145" s="588"/>
      <c r="CD145" s="588"/>
      <c r="CE145" s="589"/>
      <c r="CF145" s="589"/>
      <c r="CG145" s="589"/>
      <c r="CH145" s="561"/>
      <c r="CI145" s="561"/>
      <c r="CM145" s="156"/>
      <c r="CN145" s="156"/>
      <c r="CO145" s="156"/>
      <c r="CP145" s="156"/>
      <c r="CQ145" s="156"/>
      <c r="CR145" s="167"/>
      <c r="CS145" s="167"/>
      <c r="CT145" s="156"/>
      <c r="CU145" s="156"/>
      <c r="CV145" s="156"/>
      <c r="DG145" s="870"/>
      <c r="DH145" s="870"/>
      <c r="DI145" s="870"/>
    </row>
    <row r="146" spans="2:113">
      <c r="CB146" s="640"/>
      <c r="CC146" s="588"/>
      <c r="CD146" s="588"/>
      <c r="CE146" s="589"/>
      <c r="CF146" s="589"/>
      <c r="CG146" s="589"/>
      <c r="CH146" s="561"/>
      <c r="CI146" s="561"/>
    </row>
    <row r="147" spans="2:113">
      <c r="CB147" s="640"/>
      <c r="CC147" s="588"/>
      <c r="CD147" s="588"/>
      <c r="CE147" s="589"/>
      <c r="CF147" s="589"/>
      <c r="CG147" s="589"/>
      <c r="CH147" s="561"/>
      <c r="CI147" s="561"/>
    </row>
    <row r="148" spans="2:113">
      <c r="CB148" s="640"/>
      <c r="CC148" s="588"/>
      <c r="CD148" s="588"/>
      <c r="CE148" s="589"/>
      <c r="CF148" s="589"/>
      <c r="CG148" s="589"/>
      <c r="CH148" s="561"/>
      <c r="CI148" s="561"/>
    </row>
    <row r="149" spans="2:113">
      <c r="CB149" s="640"/>
      <c r="CC149" s="588"/>
      <c r="CD149" s="588"/>
      <c r="CE149" s="589"/>
      <c r="CF149" s="589"/>
      <c r="CG149" s="589"/>
      <c r="CH149" s="561"/>
      <c r="CI149" s="561"/>
    </row>
    <row r="150" spans="2:113">
      <c r="CB150" s="640"/>
      <c r="CC150" s="588"/>
      <c r="CD150" s="588"/>
      <c r="CE150" s="589"/>
      <c r="CF150" s="589"/>
      <c r="CG150" s="589"/>
      <c r="CH150" s="561"/>
      <c r="CI150" s="561"/>
    </row>
    <row r="151" spans="2:113">
      <c r="CB151" s="640"/>
      <c r="CC151" s="588"/>
      <c r="CD151" s="588"/>
      <c r="CE151" s="589"/>
      <c r="CF151" s="589"/>
      <c r="CG151" s="589"/>
      <c r="CH151" s="561"/>
      <c r="CI151" s="561"/>
    </row>
    <row r="152" spans="2:113">
      <c r="CB152" s="640"/>
      <c r="CC152" s="588"/>
      <c r="CD152" s="588"/>
      <c r="CE152" s="589"/>
      <c r="CF152" s="589"/>
      <c r="CG152" s="589"/>
      <c r="CH152" s="561"/>
      <c r="CI152" s="561"/>
    </row>
    <row r="153" spans="2:113">
      <c r="CB153" s="640"/>
      <c r="CC153" s="588"/>
      <c r="CD153" s="588"/>
      <c r="CE153" s="589"/>
      <c r="CF153" s="589"/>
      <c r="CG153" s="589"/>
      <c r="CH153" s="561"/>
      <c r="CI153" s="561"/>
    </row>
    <row r="154" spans="2:113">
      <c r="CB154" s="640"/>
      <c r="CC154" s="588"/>
      <c r="CD154" s="588"/>
      <c r="CE154" s="589"/>
      <c r="CF154" s="589"/>
      <c r="CG154" s="589"/>
      <c r="CH154" s="561"/>
      <c r="CI154" s="561"/>
    </row>
    <row r="155" spans="2:113">
      <c r="CB155" s="640"/>
      <c r="CC155" s="588"/>
      <c r="CD155" s="588"/>
      <c r="CE155" s="589"/>
      <c r="CF155" s="589"/>
      <c r="CG155" s="589"/>
      <c r="CH155" s="561"/>
      <c r="CI155" s="561"/>
    </row>
    <row r="156" spans="2:113">
      <c r="CB156" s="640"/>
      <c r="CC156" s="588"/>
      <c r="CD156" s="588"/>
      <c r="CE156" s="589"/>
      <c r="CF156" s="589"/>
      <c r="CG156" s="589"/>
      <c r="CH156" s="561"/>
      <c r="CI156" s="561"/>
    </row>
    <row r="157" spans="2:113">
      <c r="CB157" s="640"/>
      <c r="CC157" s="588"/>
      <c r="CD157" s="588"/>
      <c r="CE157" s="589"/>
      <c r="CF157" s="589"/>
      <c r="CG157" s="589"/>
      <c r="CH157" s="561"/>
      <c r="CI157" s="561"/>
    </row>
    <row r="158" spans="2:113">
      <c r="CB158" s="640"/>
      <c r="CC158" s="588"/>
      <c r="CD158" s="588"/>
      <c r="CE158" s="589"/>
      <c r="CF158" s="589"/>
      <c r="CG158" s="589"/>
      <c r="CH158" s="561"/>
      <c r="CI158" s="561"/>
    </row>
    <row r="159" spans="2:113">
      <c r="CB159" s="640"/>
      <c r="CC159" s="588"/>
      <c r="CD159" s="588"/>
      <c r="CE159" s="589"/>
      <c r="CF159" s="589"/>
      <c r="CG159" s="589"/>
      <c r="CH159" s="561"/>
      <c r="CI159" s="561"/>
    </row>
    <row r="160" spans="2:113">
      <c r="CB160" s="640"/>
      <c r="CC160" s="588"/>
      <c r="CD160" s="588"/>
      <c r="CE160" s="589"/>
      <c r="CF160" s="589"/>
      <c r="CG160" s="589"/>
      <c r="CH160" s="561"/>
      <c r="CI160" s="561"/>
    </row>
    <row r="161" spans="80:87">
      <c r="CB161" s="640"/>
      <c r="CC161" s="588"/>
      <c r="CD161" s="588"/>
      <c r="CE161" s="589"/>
      <c r="CF161" s="589"/>
      <c r="CG161" s="589"/>
      <c r="CH161" s="561"/>
      <c r="CI161" s="561"/>
    </row>
    <row r="162" spans="80:87">
      <c r="CB162" s="640"/>
      <c r="CC162" s="588"/>
      <c r="CD162" s="588"/>
      <c r="CE162" s="589"/>
      <c r="CF162" s="589"/>
      <c r="CG162" s="589"/>
      <c r="CH162" s="561"/>
      <c r="CI162" s="561"/>
    </row>
    <row r="163" spans="80:87">
      <c r="CB163" s="640"/>
      <c r="CC163" s="588"/>
      <c r="CD163" s="588"/>
      <c r="CE163" s="589"/>
      <c r="CF163" s="589"/>
      <c r="CG163" s="589"/>
      <c r="CH163" s="561"/>
      <c r="CI163" s="561"/>
    </row>
    <row r="164" spans="80:87">
      <c r="CB164" s="640"/>
      <c r="CC164" s="588"/>
      <c r="CD164" s="588"/>
      <c r="CE164" s="589"/>
      <c r="CF164" s="589"/>
      <c r="CG164" s="589"/>
      <c r="CH164" s="561"/>
      <c r="CI164" s="561"/>
    </row>
    <row r="165" spans="80:87">
      <c r="CB165" s="640"/>
      <c r="CC165" s="588"/>
      <c r="CD165" s="588"/>
      <c r="CE165" s="589"/>
      <c r="CF165" s="589"/>
      <c r="CG165" s="589"/>
      <c r="CH165" s="561"/>
      <c r="CI165" s="561"/>
    </row>
    <row r="166" spans="80:87">
      <c r="CB166" s="640"/>
      <c r="CC166" s="588"/>
      <c r="CD166" s="588"/>
      <c r="CE166" s="589"/>
      <c r="CF166" s="589"/>
      <c r="CG166" s="589"/>
      <c r="CH166" s="561"/>
      <c r="CI166" s="561"/>
    </row>
    <row r="167" spans="80:87">
      <c r="CB167" s="640"/>
      <c r="CC167" s="588"/>
      <c r="CD167" s="588"/>
      <c r="CE167" s="589"/>
      <c r="CF167" s="589"/>
      <c r="CG167" s="589"/>
      <c r="CH167" s="561"/>
      <c r="CI167" s="561"/>
    </row>
    <row r="168" spans="80:87">
      <c r="CB168" s="640"/>
      <c r="CC168" s="588"/>
      <c r="CD168" s="588"/>
      <c r="CE168" s="589"/>
      <c r="CF168" s="589"/>
      <c r="CG168" s="589"/>
      <c r="CH168" s="561"/>
      <c r="CI168" s="561"/>
    </row>
    <row r="169" spans="80:87">
      <c r="CB169" s="640"/>
      <c r="CC169" s="588"/>
      <c r="CD169" s="588"/>
      <c r="CE169" s="589"/>
      <c r="CF169" s="589"/>
      <c r="CG169" s="589"/>
      <c r="CH169" s="561"/>
      <c r="CI169" s="561"/>
    </row>
    <row r="170" spans="80:87">
      <c r="CB170" s="640"/>
      <c r="CC170" s="588"/>
      <c r="CD170" s="588"/>
      <c r="CE170" s="589"/>
      <c r="CF170" s="589"/>
      <c r="CG170" s="589"/>
      <c r="CH170" s="561"/>
      <c r="CI170" s="561"/>
    </row>
    <row r="171" spans="80:87">
      <c r="CB171" s="640"/>
      <c r="CC171" s="588"/>
      <c r="CD171" s="588"/>
      <c r="CE171" s="589"/>
      <c r="CF171" s="589"/>
      <c r="CG171" s="589"/>
      <c r="CH171" s="561"/>
      <c r="CI171" s="561"/>
    </row>
    <row r="172" spans="80:87">
      <c r="CB172" s="640"/>
      <c r="CC172" s="588"/>
      <c r="CD172" s="588"/>
      <c r="CE172" s="589"/>
      <c r="CF172" s="589"/>
      <c r="CG172" s="589"/>
      <c r="CH172" s="561"/>
      <c r="CI172" s="561"/>
    </row>
    <row r="173" spans="80:87">
      <c r="CB173" s="640"/>
      <c r="CC173" s="588"/>
      <c r="CD173" s="588"/>
      <c r="CE173" s="589"/>
      <c r="CF173" s="589"/>
      <c r="CG173" s="589"/>
      <c r="CH173" s="561"/>
      <c r="CI173" s="561"/>
    </row>
    <row r="174" spans="80:87">
      <c r="CB174" s="640"/>
      <c r="CC174" s="588"/>
      <c r="CD174" s="588"/>
      <c r="CE174" s="589"/>
      <c r="CF174" s="589"/>
      <c r="CG174" s="589"/>
      <c r="CH174" s="561"/>
      <c r="CI174" s="561"/>
    </row>
    <row r="175" spans="80:87">
      <c r="CB175" s="640"/>
      <c r="CC175" s="588"/>
      <c r="CD175" s="588"/>
      <c r="CE175" s="589"/>
      <c r="CF175" s="589"/>
      <c r="CG175" s="589"/>
      <c r="CH175" s="561"/>
      <c r="CI175" s="561"/>
    </row>
    <row r="176" spans="80:87">
      <c r="CB176" s="640"/>
      <c r="CC176" s="588"/>
      <c r="CD176" s="588"/>
      <c r="CE176" s="589"/>
      <c r="CF176" s="589"/>
      <c r="CG176" s="589"/>
      <c r="CH176" s="561"/>
      <c r="CI176" s="561"/>
    </row>
    <row r="177" spans="80:87">
      <c r="CB177" s="640"/>
      <c r="CC177" s="588"/>
      <c r="CD177" s="588"/>
      <c r="CE177" s="589"/>
      <c r="CF177" s="589"/>
      <c r="CG177" s="589"/>
      <c r="CH177" s="561"/>
      <c r="CI177" s="561"/>
    </row>
    <row r="178" spans="80:87">
      <c r="CB178" s="640"/>
      <c r="CC178" s="588"/>
      <c r="CD178" s="588"/>
      <c r="CE178" s="589"/>
      <c r="CF178" s="589"/>
      <c r="CG178" s="589"/>
      <c r="CH178" s="561"/>
      <c r="CI178" s="561"/>
    </row>
    <row r="179" spans="80:87">
      <c r="CB179" s="640"/>
      <c r="CC179" s="588"/>
      <c r="CD179" s="588"/>
      <c r="CE179" s="589"/>
      <c r="CF179" s="589"/>
      <c r="CG179" s="589"/>
      <c r="CH179" s="561"/>
      <c r="CI179" s="561"/>
    </row>
    <row r="180" spans="80:87">
      <c r="CB180" s="640"/>
      <c r="CC180" s="588"/>
      <c r="CD180" s="588"/>
      <c r="CE180" s="589"/>
      <c r="CF180" s="589"/>
      <c r="CG180" s="589"/>
      <c r="CH180" s="561"/>
      <c r="CI180" s="561"/>
    </row>
    <row r="181" spans="80:87">
      <c r="CB181" s="640"/>
      <c r="CC181" s="588"/>
      <c r="CD181" s="588"/>
      <c r="CE181" s="589"/>
      <c r="CF181" s="589"/>
      <c r="CG181" s="589"/>
      <c r="CH181" s="561"/>
      <c r="CI181" s="561"/>
    </row>
    <row r="182" spans="80:87">
      <c r="CB182" s="640"/>
      <c r="CC182" s="588"/>
      <c r="CD182" s="588"/>
      <c r="CE182" s="589"/>
      <c r="CF182" s="589"/>
      <c r="CG182" s="589"/>
      <c r="CH182" s="561"/>
      <c r="CI182" s="561"/>
    </row>
    <row r="183" spans="80:87">
      <c r="CB183" s="640"/>
      <c r="CC183" s="588"/>
      <c r="CD183" s="588"/>
      <c r="CE183" s="589"/>
      <c r="CF183" s="589"/>
      <c r="CG183" s="589"/>
      <c r="CH183" s="561"/>
      <c r="CI183" s="561"/>
    </row>
    <row r="184" spans="80:87">
      <c r="CB184" s="640"/>
      <c r="CC184" s="588"/>
      <c r="CD184" s="588"/>
      <c r="CE184" s="589"/>
      <c r="CF184" s="589"/>
      <c r="CG184" s="589"/>
      <c r="CH184" s="561"/>
      <c r="CI184" s="561"/>
    </row>
    <row r="185" spans="80:87">
      <c r="CB185" s="640"/>
      <c r="CC185" s="588"/>
      <c r="CD185" s="588"/>
      <c r="CE185" s="589"/>
      <c r="CF185" s="589"/>
      <c r="CG185" s="589"/>
      <c r="CH185" s="561"/>
      <c r="CI185" s="561"/>
    </row>
    <row r="186" spans="80:87">
      <c r="CB186" s="640"/>
      <c r="CC186" s="588"/>
      <c r="CD186" s="588"/>
      <c r="CE186" s="589"/>
      <c r="CF186" s="589"/>
      <c r="CG186" s="589"/>
      <c r="CH186" s="561"/>
      <c r="CI186" s="561"/>
    </row>
    <row r="187" spans="80:87">
      <c r="CB187" s="640"/>
      <c r="CC187" s="588"/>
      <c r="CD187" s="588"/>
      <c r="CE187" s="589"/>
      <c r="CF187" s="589"/>
      <c r="CG187" s="589"/>
      <c r="CH187" s="561"/>
      <c r="CI187" s="561"/>
    </row>
    <row r="188" spans="80:87">
      <c r="CB188" s="640"/>
      <c r="CC188" s="588"/>
      <c r="CD188" s="588"/>
      <c r="CE188" s="589"/>
      <c r="CF188" s="589"/>
      <c r="CG188" s="589"/>
      <c r="CH188" s="561"/>
      <c r="CI188" s="561"/>
    </row>
    <row r="189" spans="80:87">
      <c r="CB189" s="640"/>
      <c r="CC189" s="588"/>
      <c r="CD189" s="588"/>
      <c r="CE189" s="589"/>
      <c r="CF189" s="589"/>
      <c r="CG189" s="589"/>
      <c r="CH189" s="561"/>
      <c r="CI189" s="561"/>
    </row>
    <row r="190" spans="80:87">
      <c r="CB190" s="640"/>
      <c r="CC190" s="588"/>
      <c r="CD190" s="588"/>
      <c r="CE190" s="589"/>
      <c r="CF190" s="589"/>
      <c r="CG190" s="589"/>
      <c r="CH190" s="561"/>
      <c r="CI190" s="561"/>
    </row>
    <row r="191" spans="80:87">
      <c r="CB191" s="640"/>
      <c r="CC191" s="588"/>
      <c r="CD191" s="588"/>
      <c r="CE191" s="589"/>
      <c r="CF191" s="589"/>
      <c r="CG191" s="589"/>
      <c r="CH191" s="561"/>
      <c r="CI191" s="561"/>
    </row>
    <row r="192" spans="80:87">
      <c r="CB192" s="640"/>
      <c r="CC192" s="588"/>
      <c r="CD192" s="588"/>
      <c r="CE192" s="589"/>
      <c r="CF192" s="589"/>
      <c r="CG192" s="589"/>
      <c r="CH192" s="561"/>
      <c r="CI192" s="561"/>
    </row>
    <row r="193" spans="80:87">
      <c r="CB193" s="640"/>
      <c r="CC193" s="588"/>
      <c r="CD193" s="588"/>
      <c r="CE193" s="589"/>
      <c r="CF193" s="589"/>
      <c r="CG193" s="589"/>
      <c r="CH193" s="561"/>
      <c r="CI193" s="561"/>
    </row>
    <row r="194" spans="80:87">
      <c r="CB194" s="640"/>
      <c r="CC194" s="588"/>
      <c r="CD194" s="588"/>
      <c r="CE194" s="589"/>
      <c r="CF194" s="589"/>
      <c r="CG194" s="589"/>
      <c r="CH194" s="561"/>
      <c r="CI194" s="561"/>
    </row>
    <row r="195" spans="80:87">
      <c r="CB195" s="640"/>
      <c r="CC195" s="588"/>
      <c r="CD195" s="588"/>
      <c r="CE195" s="589"/>
      <c r="CF195" s="589"/>
      <c r="CG195" s="589"/>
      <c r="CH195" s="561"/>
      <c r="CI195" s="561"/>
    </row>
    <row r="196" spans="80:87">
      <c r="CB196" s="640"/>
      <c r="CC196" s="588"/>
      <c r="CD196" s="588"/>
      <c r="CE196" s="589"/>
      <c r="CF196" s="589"/>
      <c r="CG196" s="589"/>
      <c r="CH196" s="561"/>
      <c r="CI196" s="561"/>
    </row>
    <row r="197" spans="80:87">
      <c r="CB197" s="640"/>
      <c r="CC197" s="588"/>
      <c r="CD197" s="588"/>
      <c r="CE197" s="589"/>
      <c r="CF197" s="589"/>
      <c r="CG197" s="589"/>
      <c r="CH197" s="561"/>
      <c r="CI197" s="561"/>
    </row>
    <row r="198" spans="80:87">
      <c r="CB198" s="640"/>
      <c r="CC198" s="588"/>
      <c r="CD198" s="588"/>
      <c r="CE198" s="589"/>
      <c r="CF198" s="589"/>
      <c r="CG198" s="589"/>
      <c r="CH198" s="561"/>
      <c r="CI198" s="561"/>
    </row>
    <row r="199" spans="80:87">
      <c r="CB199" s="640"/>
      <c r="CC199" s="588"/>
      <c r="CD199" s="588"/>
      <c r="CE199" s="589"/>
      <c r="CF199" s="589"/>
      <c r="CG199" s="589"/>
      <c r="CH199" s="561"/>
      <c r="CI199" s="561"/>
    </row>
    <row r="200" spans="80:87">
      <c r="CB200" s="640"/>
      <c r="CC200" s="588"/>
      <c r="CD200" s="588"/>
      <c r="CE200" s="589"/>
      <c r="CF200" s="589"/>
      <c r="CG200" s="589"/>
      <c r="CH200" s="561"/>
      <c r="CI200" s="561"/>
    </row>
    <row r="201" spans="80:87">
      <c r="CB201" s="640"/>
      <c r="CC201" s="588"/>
      <c r="CD201" s="588"/>
      <c r="CE201" s="589"/>
      <c r="CF201" s="589"/>
      <c r="CG201" s="589"/>
      <c r="CH201" s="561"/>
      <c r="CI201" s="561"/>
    </row>
    <row r="202" spans="80:87">
      <c r="CB202" s="640"/>
      <c r="CC202" s="588"/>
      <c r="CD202" s="588"/>
      <c r="CE202" s="589"/>
      <c r="CF202" s="589"/>
      <c r="CG202" s="589"/>
      <c r="CH202" s="561"/>
      <c r="CI202" s="561"/>
    </row>
    <row r="203" spans="80:87">
      <c r="CB203" s="640"/>
      <c r="CC203" s="588"/>
      <c r="CD203" s="588"/>
      <c r="CE203" s="589"/>
      <c r="CF203" s="589"/>
      <c r="CG203" s="589"/>
      <c r="CH203" s="561"/>
      <c r="CI203" s="561"/>
    </row>
    <row r="204" spans="80:87">
      <c r="CB204" s="640"/>
      <c r="CC204" s="588"/>
      <c r="CD204" s="588"/>
      <c r="CE204" s="589"/>
      <c r="CF204" s="589"/>
      <c r="CG204" s="589"/>
      <c r="CH204" s="561"/>
      <c r="CI204" s="561"/>
    </row>
    <row r="205" spans="80:87">
      <c r="CB205" s="640"/>
      <c r="CC205" s="588"/>
      <c r="CD205" s="588"/>
      <c r="CE205" s="589"/>
      <c r="CF205" s="589"/>
      <c r="CG205" s="589"/>
      <c r="CH205" s="561"/>
      <c r="CI205" s="561"/>
    </row>
    <row r="206" spans="80:87">
      <c r="CB206" s="640"/>
      <c r="CC206" s="588"/>
      <c r="CD206" s="588"/>
      <c r="CE206" s="589"/>
      <c r="CF206" s="589"/>
      <c r="CG206" s="589"/>
      <c r="CH206" s="561"/>
      <c r="CI206" s="561"/>
    </row>
    <row r="207" spans="80:87">
      <c r="CB207" s="640"/>
      <c r="CC207" s="588"/>
      <c r="CD207" s="588"/>
      <c r="CE207" s="589"/>
      <c r="CF207" s="589"/>
      <c r="CG207" s="589"/>
      <c r="CH207" s="561"/>
      <c r="CI207" s="561"/>
    </row>
    <row r="208" spans="80:87">
      <c r="CB208" s="640"/>
      <c r="CC208" s="588"/>
      <c r="CD208" s="588"/>
      <c r="CE208" s="589"/>
      <c r="CF208" s="589"/>
      <c r="CG208" s="589"/>
      <c r="CH208" s="561"/>
      <c r="CI208" s="561"/>
    </row>
    <row r="209" spans="80:87">
      <c r="CB209" s="640"/>
      <c r="CC209" s="588"/>
      <c r="CD209" s="588"/>
      <c r="CE209" s="589"/>
      <c r="CF209" s="589"/>
      <c r="CG209" s="589"/>
      <c r="CH209" s="561"/>
      <c r="CI209" s="561"/>
    </row>
    <row r="210" spans="80:87">
      <c r="CB210" s="640"/>
      <c r="CC210" s="588"/>
      <c r="CD210" s="588"/>
      <c r="CE210" s="589"/>
      <c r="CF210" s="589"/>
      <c r="CG210" s="589"/>
      <c r="CH210" s="561"/>
      <c r="CI210" s="561"/>
    </row>
    <row r="211" spans="80:87">
      <c r="CB211" s="640"/>
      <c r="CC211" s="588"/>
      <c r="CD211" s="588"/>
      <c r="CE211" s="589"/>
      <c r="CF211" s="589"/>
      <c r="CG211" s="589"/>
      <c r="CH211" s="561"/>
      <c r="CI211" s="561"/>
    </row>
    <row r="212" spans="80:87">
      <c r="CB212" s="640"/>
      <c r="CC212" s="588"/>
      <c r="CD212" s="588"/>
      <c r="CE212" s="589"/>
      <c r="CF212" s="589"/>
      <c r="CG212" s="589"/>
      <c r="CH212" s="561"/>
      <c r="CI212" s="561"/>
    </row>
    <row r="213" spans="80:87">
      <c r="CB213" s="640"/>
      <c r="CC213" s="588"/>
      <c r="CD213" s="588"/>
      <c r="CE213" s="589"/>
      <c r="CF213" s="589"/>
      <c r="CG213" s="589"/>
      <c r="CH213" s="561"/>
      <c r="CI213" s="561"/>
    </row>
    <row r="214" spans="80:87">
      <c r="CB214" s="640"/>
      <c r="CC214" s="588"/>
      <c r="CD214" s="588"/>
      <c r="CE214" s="589"/>
      <c r="CF214" s="589"/>
      <c r="CG214" s="589"/>
      <c r="CH214" s="561"/>
      <c r="CI214" s="561"/>
    </row>
    <row r="215" spans="80:87">
      <c r="CB215" s="640"/>
      <c r="CC215" s="588"/>
      <c r="CD215" s="588"/>
      <c r="CE215" s="589"/>
      <c r="CF215" s="589"/>
      <c r="CG215" s="589"/>
      <c r="CH215" s="561"/>
      <c r="CI215" s="561"/>
    </row>
    <row r="216" spans="80:87">
      <c r="CB216" s="640"/>
      <c r="CC216" s="588"/>
      <c r="CD216" s="588"/>
      <c r="CE216" s="589"/>
      <c r="CF216" s="589"/>
      <c r="CG216" s="589"/>
      <c r="CH216" s="561"/>
      <c r="CI216" s="561"/>
    </row>
    <row r="217" spans="80:87">
      <c r="CB217" s="640"/>
      <c r="CC217" s="588"/>
      <c r="CD217" s="588"/>
      <c r="CE217" s="589"/>
      <c r="CF217" s="589"/>
      <c r="CG217" s="589"/>
      <c r="CH217" s="561"/>
      <c r="CI217" s="561"/>
    </row>
    <row r="218" spans="80:87">
      <c r="CB218" s="640"/>
      <c r="CC218" s="588"/>
      <c r="CD218" s="588"/>
      <c r="CE218" s="589"/>
      <c r="CF218" s="589"/>
      <c r="CG218" s="589"/>
      <c r="CH218" s="561"/>
      <c r="CI218" s="561"/>
    </row>
    <row r="219" spans="80:87">
      <c r="CB219" s="640"/>
      <c r="CC219" s="588"/>
      <c r="CD219" s="588"/>
      <c r="CE219" s="589"/>
      <c r="CF219" s="589"/>
      <c r="CG219" s="589"/>
      <c r="CH219" s="561"/>
      <c r="CI219" s="561"/>
    </row>
    <row r="220" spans="80:87">
      <c r="CB220" s="640"/>
      <c r="CC220" s="588"/>
      <c r="CD220" s="588"/>
      <c r="CE220" s="589"/>
      <c r="CF220" s="589"/>
      <c r="CG220" s="589"/>
      <c r="CH220" s="561"/>
      <c r="CI220" s="561"/>
    </row>
    <row r="221" spans="80:87">
      <c r="CB221" s="640"/>
      <c r="CC221" s="588"/>
      <c r="CD221" s="588"/>
      <c r="CE221" s="589"/>
      <c r="CF221" s="589"/>
      <c r="CG221" s="589"/>
      <c r="CH221" s="561"/>
      <c r="CI221" s="561"/>
    </row>
    <row r="222" spans="80:87">
      <c r="CB222" s="640"/>
      <c r="CC222" s="588"/>
      <c r="CD222" s="588"/>
      <c r="CE222" s="589"/>
      <c r="CF222" s="589"/>
      <c r="CG222" s="589"/>
      <c r="CH222" s="561"/>
      <c r="CI222" s="561"/>
    </row>
    <row r="223" spans="80:87">
      <c r="CB223" s="640"/>
      <c r="CC223" s="588"/>
      <c r="CD223" s="588"/>
      <c r="CE223" s="589"/>
      <c r="CF223" s="589"/>
      <c r="CG223" s="589"/>
      <c r="CH223" s="561"/>
      <c r="CI223" s="561"/>
    </row>
    <row r="224" spans="80:87">
      <c r="CB224" s="640"/>
      <c r="CC224" s="588"/>
      <c r="CD224" s="588"/>
      <c r="CE224" s="589"/>
      <c r="CF224" s="589"/>
      <c r="CG224" s="589"/>
      <c r="CH224" s="561"/>
      <c r="CI224" s="561"/>
    </row>
    <row r="225" spans="80:87">
      <c r="CB225" s="640"/>
      <c r="CC225" s="588"/>
      <c r="CD225" s="588"/>
      <c r="CE225" s="589"/>
      <c r="CF225" s="589"/>
      <c r="CG225" s="589"/>
      <c r="CH225" s="561"/>
      <c r="CI225" s="561"/>
    </row>
    <row r="226" spans="80:87">
      <c r="CB226" s="640"/>
      <c r="CC226" s="588"/>
      <c r="CD226" s="588"/>
      <c r="CE226" s="589"/>
      <c r="CF226" s="589"/>
      <c r="CG226" s="589"/>
      <c r="CH226" s="561"/>
      <c r="CI226" s="561"/>
    </row>
    <row r="227" spans="80:87">
      <c r="CB227" s="640"/>
      <c r="CC227" s="588"/>
      <c r="CD227" s="588"/>
      <c r="CE227" s="589"/>
      <c r="CF227" s="589"/>
      <c r="CG227" s="589"/>
      <c r="CH227" s="561"/>
      <c r="CI227" s="561"/>
    </row>
    <row r="228" spans="80:87">
      <c r="CB228" s="640"/>
      <c r="CC228" s="588"/>
      <c r="CD228" s="588"/>
      <c r="CE228" s="589"/>
      <c r="CF228" s="589"/>
      <c r="CG228" s="589"/>
      <c r="CH228" s="561"/>
      <c r="CI228" s="561"/>
    </row>
    <row r="229" spans="80:87">
      <c r="CB229" s="640"/>
      <c r="CC229" s="588"/>
      <c r="CD229" s="588"/>
      <c r="CE229" s="589"/>
      <c r="CF229" s="589"/>
      <c r="CG229" s="589"/>
      <c r="CH229" s="561"/>
      <c r="CI229" s="561"/>
    </row>
    <row r="230" spans="80:87">
      <c r="CB230" s="640"/>
      <c r="CC230" s="588"/>
      <c r="CD230" s="588"/>
      <c r="CE230" s="589"/>
      <c r="CF230" s="589"/>
      <c r="CG230" s="589"/>
      <c r="CH230" s="561"/>
      <c r="CI230" s="561"/>
    </row>
    <row r="231" spans="80:87">
      <c r="CB231" s="640"/>
      <c r="CC231" s="588"/>
      <c r="CD231" s="588"/>
      <c r="CE231" s="589"/>
      <c r="CF231" s="589"/>
      <c r="CG231" s="589"/>
      <c r="CH231" s="561"/>
      <c r="CI231" s="561"/>
    </row>
    <row r="232" spans="80:87">
      <c r="CB232" s="640"/>
      <c r="CC232" s="588"/>
      <c r="CD232" s="588"/>
      <c r="CE232" s="589"/>
      <c r="CF232" s="589"/>
      <c r="CG232" s="589"/>
      <c r="CH232" s="561"/>
      <c r="CI232" s="561"/>
    </row>
    <row r="233" spans="80:87">
      <c r="CB233" s="640"/>
      <c r="CC233" s="588"/>
      <c r="CD233" s="588"/>
      <c r="CE233" s="589"/>
      <c r="CF233" s="589"/>
      <c r="CG233" s="589"/>
      <c r="CH233" s="561"/>
      <c r="CI233" s="561"/>
    </row>
    <row r="234" spans="80:87">
      <c r="CB234" s="640"/>
      <c r="CC234" s="588"/>
      <c r="CD234" s="588"/>
      <c r="CE234" s="589"/>
      <c r="CF234" s="589"/>
      <c r="CG234" s="589"/>
      <c r="CH234" s="561"/>
      <c r="CI234" s="561"/>
    </row>
    <row r="235" spans="80:87">
      <c r="CB235" s="640"/>
      <c r="CC235" s="588"/>
      <c r="CD235" s="588"/>
      <c r="CE235" s="589"/>
      <c r="CF235" s="589"/>
      <c r="CG235" s="589"/>
      <c r="CH235" s="561"/>
      <c r="CI235" s="561"/>
    </row>
    <row r="236" spans="80:87">
      <c r="CB236" s="640"/>
      <c r="CC236" s="588"/>
      <c r="CD236" s="588"/>
      <c r="CE236" s="589"/>
      <c r="CF236" s="589"/>
      <c r="CG236" s="589"/>
      <c r="CH236" s="561"/>
      <c r="CI236" s="561"/>
    </row>
    <row r="237" spans="80:87">
      <c r="CB237" s="640"/>
      <c r="CC237" s="588"/>
      <c r="CD237" s="588"/>
      <c r="CE237" s="589"/>
      <c r="CF237" s="589"/>
      <c r="CG237" s="589"/>
      <c r="CH237" s="561"/>
      <c r="CI237" s="561"/>
    </row>
    <row r="238" spans="80:87">
      <c r="CB238" s="640"/>
      <c r="CC238" s="588"/>
      <c r="CD238" s="588"/>
      <c r="CE238" s="589"/>
      <c r="CF238" s="589"/>
      <c r="CG238" s="589"/>
      <c r="CH238" s="561"/>
      <c r="CI238" s="561"/>
    </row>
    <row r="239" spans="80:87">
      <c r="CB239" s="640"/>
      <c r="CC239" s="588"/>
      <c r="CD239" s="588"/>
      <c r="CE239" s="589"/>
      <c r="CF239" s="589"/>
      <c r="CG239" s="589"/>
      <c r="CH239" s="561"/>
      <c r="CI239" s="561"/>
    </row>
    <row r="240" spans="80:87">
      <c r="CB240" s="640"/>
      <c r="CC240" s="588"/>
      <c r="CD240" s="588"/>
      <c r="CE240" s="589"/>
      <c r="CF240" s="589"/>
      <c r="CG240" s="589"/>
      <c r="CH240" s="561"/>
      <c r="CI240" s="561"/>
    </row>
    <row r="241" spans="80:87">
      <c r="CB241" s="640"/>
      <c r="CC241" s="588"/>
      <c r="CD241" s="588"/>
      <c r="CE241" s="589"/>
      <c r="CF241" s="589"/>
      <c r="CG241" s="589"/>
      <c r="CH241" s="561"/>
      <c r="CI241" s="561"/>
    </row>
    <row r="242" spans="80:87">
      <c r="CB242" s="640"/>
      <c r="CC242" s="588"/>
      <c r="CD242" s="588"/>
      <c r="CE242" s="589"/>
      <c r="CF242" s="589"/>
      <c r="CG242" s="589"/>
      <c r="CH242" s="561"/>
      <c r="CI242" s="561"/>
    </row>
    <row r="243" spans="80:87">
      <c r="CB243" s="640"/>
      <c r="CC243" s="588"/>
      <c r="CD243" s="588"/>
      <c r="CE243" s="589"/>
      <c r="CF243" s="589"/>
      <c r="CG243" s="589"/>
      <c r="CH243" s="561"/>
      <c r="CI243" s="561"/>
    </row>
    <row r="244" spans="80:87">
      <c r="CB244" s="640"/>
      <c r="CC244" s="588"/>
      <c r="CD244" s="588"/>
      <c r="CE244" s="589"/>
      <c r="CF244" s="589"/>
      <c r="CG244" s="589"/>
      <c r="CH244" s="561"/>
      <c r="CI244" s="561"/>
    </row>
    <row r="245" spans="80:87">
      <c r="CB245" s="640"/>
      <c r="CC245" s="588"/>
      <c r="CD245" s="588"/>
      <c r="CE245" s="589"/>
      <c r="CF245" s="589"/>
      <c r="CG245" s="589"/>
      <c r="CH245" s="561"/>
      <c r="CI245" s="561"/>
    </row>
    <row r="246" spans="80:87">
      <c r="CB246" s="640"/>
      <c r="CC246" s="588"/>
      <c r="CD246" s="588"/>
      <c r="CE246" s="589"/>
      <c r="CF246" s="589"/>
      <c r="CG246" s="589"/>
      <c r="CH246" s="561"/>
      <c r="CI246" s="561"/>
    </row>
    <row r="247" spans="80:87">
      <c r="CB247" s="640"/>
      <c r="CC247" s="588"/>
      <c r="CD247" s="588"/>
      <c r="CE247" s="589"/>
      <c r="CF247" s="589"/>
      <c r="CG247" s="589"/>
      <c r="CH247" s="561"/>
      <c r="CI247" s="561"/>
    </row>
    <row r="248" spans="80:87">
      <c r="CB248" s="640"/>
      <c r="CC248" s="588"/>
      <c r="CD248" s="588"/>
      <c r="CE248" s="589"/>
      <c r="CF248" s="589"/>
      <c r="CG248" s="589"/>
      <c r="CH248" s="561"/>
      <c r="CI248" s="561"/>
    </row>
    <row r="249" spans="80:87">
      <c r="CB249" s="640"/>
      <c r="CC249" s="588"/>
      <c r="CD249" s="588"/>
      <c r="CE249" s="589"/>
      <c r="CF249" s="589"/>
      <c r="CG249" s="589"/>
      <c r="CH249" s="561"/>
      <c r="CI249" s="561"/>
    </row>
    <row r="250" spans="80:87">
      <c r="CB250" s="640"/>
      <c r="CC250" s="588"/>
      <c r="CD250" s="588"/>
      <c r="CE250" s="589"/>
      <c r="CF250" s="589"/>
      <c r="CG250" s="589"/>
      <c r="CH250" s="561"/>
      <c r="CI250" s="561"/>
    </row>
    <row r="251" spans="80:87">
      <c r="CB251" s="640"/>
      <c r="CC251" s="588"/>
      <c r="CD251" s="588"/>
      <c r="CE251" s="589"/>
      <c r="CF251" s="589"/>
      <c r="CG251" s="589"/>
      <c r="CH251" s="561"/>
      <c r="CI251" s="561"/>
    </row>
    <row r="252" spans="80:87">
      <c r="CB252" s="640"/>
      <c r="CC252" s="588"/>
      <c r="CD252" s="588"/>
      <c r="CE252" s="589"/>
      <c r="CF252" s="589"/>
      <c r="CG252" s="589"/>
      <c r="CH252" s="561"/>
      <c r="CI252" s="561"/>
    </row>
    <row r="253" spans="80:87">
      <c r="CB253" s="640"/>
      <c r="CC253" s="588"/>
      <c r="CD253" s="588"/>
      <c r="CE253" s="589"/>
      <c r="CF253" s="589"/>
      <c r="CG253" s="589"/>
      <c r="CH253" s="561"/>
      <c r="CI253" s="561"/>
    </row>
    <row r="254" spans="80:87">
      <c r="CB254" s="640"/>
      <c r="CC254" s="588"/>
      <c r="CD254" s="588"/>
      <c r="CE254" s="589"/>
      <c r="CF254" s="589"/>
      <c r="CG254" s="589"/>
      <c r="CH254" s="561"/>
      <c r="CI254" s="561"/>
    </row>
    <row r="255" spans="80:87">
      <c r="CB255" s="640"/>
      <c r="CC255" s="588"/>
      <c r="CD255" s="588"/>
      <c r="CE255" s="589"/>
      <c r="CF255" s="589"/>
      <c r="CG255" s="589"/>
      <c r="CH255" s="561"/>
      <c r="CI255" s="561"/>
    </row>
    <row r="256" spans="80:87">
      <c r="CB256" s="640"/>
      <c r="CC256" s="588"/>
      <c r="CD256" s="588"/>
      <c r="CE256" s="589"/>
      <c r="CF256" s="589"/>
      <c r="CG256" s="589"/>
      <c r="CH256" s="561"/>
      <c r="CI256" s="561"/>
    </row>
    <row r="257" spans="80:87">
      <c r="CB257" s="640"/>
      <c r="CC257" s="588"/>
      <c r="CD257" s="588"/>
      <c r="CE257" s="589"/>
      <c r="CF257" s="589"/>
      <c r="CG257" s="589"/>
      <c r="CH257" s="561"/>
      <c r="CI257" s="561"/>
    </row>
    <row r="258" spans="80:87">
      <c r="CB258" s="640"/>
      <c r="CC258" s="588"/>
      <c r="CD258" s="588"/>
      <c r="CE258" s="589"/>
      <c r="CF258" s="589"/>
      <c r="CG258" s="589"/>
      <c r="CH258" s="561"/>
      <c r="CI258" s="561"/>
    </row>
    <row r="259" spans="80:87">
      <c r="CB259" s="640"/>
      <c r="CC259" s="588"/>
      <c r="CD259" s="588"/>
      <c r="CE259" s="589"/>
      <c r="CF259" s="589"/>
      <c r="CG259" s="589"/>
      <c r="CH259" s="561"/>
      <c r="CI259" s="561"/>
    </row>
    <row r="260" spans="80:87">
      <c r="CB260" s="640"/>
      <c r="CC260" s="588"/>
      <c r="CD260" s="588"/>
      <c r="CE260" s="589"/>
      <c r="CF260" s="589"/>
      <c r="CG260" s="589"/>
      <c r="CH260" s="561"/>
      <c r="CI260" s="561"/>
    </row>
    <row r="261" spans="80:87">
      <c r="CB261" s="640"/>
      <c r="CC261" s="588"/>
      <c r="CD261" s="588"/>
      <c r="CE261" s="589"/>
      <c r="CF261" s="589"/>
      <c r="CG261" s="589"/>
      <c r="CH261" s="561"/>
      <c r="CI261" s="561"/>
    </row>
    <row r="262" spans="80:87">
      <c r="CB262" s="640"/>
      <c r="CC262" s="588"/>
      <c r="CD262" s="588"/>
      <c r="CE262" s="589"/>
      <c r="CF262" s="589"/>
      <c r="CG262" s="589"/>
      <c r="CH262" s="561"/>
      <c r="CI262" s="561"/>
    </row>
    <row r="263" spans="80:87">
      <c r="CB263" s="640"/>
      <c r="CC263" s="588"/>
      <c r="CD263" s="588"/>
      <c r="CE263" s="589"/>
      <c r="CF263" s="589"/>
      <c r="CG263" s="589"/>
      <c r="CH263" s="561"/>
      <c r="CI263" s="561"/>
    </row>
    <row r="264" spans="80:87">
      <c r="CB264" s="640"/>
      <c r="CC264" s="588"/>
      <c r="CD264" s="588"/>
      <c r="CE264" s="589"/>
      <c r="CF264" s="589"/>
      <c r="CG264" s="589"/>
      <c r="CH264" s="561"/>
      <c r="CI264" s="561"/>
    </row>
    <row r="265" spans="80:87">
      <c r="CB265" s="640"/>
      <c r="CC265" s="588"/>
      <c r="CD265" s="588"/>
      <c r="CE265" s="589"/>
      <c r="CF265" s="589"/>
      <c r="CG265" s="589"/>
      <c r="CH265" s="561"/>
      <c r="CI265" s="561"/>
    </row>
    <row r="266" spans="80:87">
      <c r="CB266" s="640"/>
      <c r="CC266" s="588"/>
      <c r="CD266" s="588"/>
      <c r="CE266" s="589"/>
      <c r="CF266" s="589"/>
      <c r="CG266" s="589"/>
      <c r="CH266" s="561"/>
      <c r="CI266" s="561"/>
    </row>
    <row r="267" spans="80:87">
      <c r="CB267" s="640"/>
      <c r="CC267" s="588"/>
      <c r="CD267" s="588"/>
      <c r="CE267" s="589"/>
      <c r="CF267" s="589"/>
      <c r="CG267" s="589"/>
      <c r="CH267" s="561"/>
      <c r="CI267" s="561"/>
    </row>
    <row r="268" spans="80:87">
      <c r="CB268" s="640"/>
      <c r="CC268" s="588"/>
      <c r="CD268" s="588"/>
      <c r="CE268" s="589"/>
      <c r="CF268" s="589"/>
      <c r="CG268" s="589"/>
      <c r="CH268" s="561"/>
      <c r="CI268" s="561"/>
    </row>
    <row r="269" spans="80:87">
      <c r="CB269" s="640"/>
      <c r="CC269" s="588"/>
      <c r="CD269" s="588"/>
      <c r="CE269" s="589"/>
      <c r="CF269" s="589"/>
      <c r="CG269" s="589"/>
      <c r="CH269" s="561"/>
      <c r="CI269" s="561"/>
    </row>
    <row r="270" spans="80:87">
      <c r="CB270" s="640"/>
      <c r="CC270" s="588"/>
      <c r="CD270" s="588"/>
      <c r="CE270" s="589"/>
      <c r="CF270" s="589"/>
      <c r="CG270" s="589"/>
      <c r="CH270" s="561"/>
      <c r="CI270" s="561"/>
    </row>
    <row r="271" spans="80:87">
      <c r="CB271" s="640"/>
      <c r="CC271" s="588"/>
      <c r="CD271" s="588"/>
      <c r="CE271" s="589"/>
      <c r="CF271" s="589"/>
      <c r="CG271" s="589"/>
      <c r="CH271" s="561"/>
      <c r="CI271" s="561"/>
    </row>
    <row r="272" spans="80:87">
      <c r="CB272" s="640"/>
      <c r="CC272" s="588"/>
      <c r="CD272" s="588"/>
      <c r="CE272" s="589"/>
      <c r="CF272" s="589"/>
      <c r="CG272" s="589"/>
      <c r="CH272" s="561"/>
      <c r="CI272" s="561"/>
    </row>
    <row r="273" spans="80:87">
      <c r="CB273" s="640"/>
      <c r="CC273" s="588"/>
      <c r="CD273" s="588"/>
      <c r="CE273" s="589"/>
      <c r="CF273" s="589"/>
      <c r="CG273" s="589"/>
      <c r="CH273" s="561"/>
      <c r="CI273" s="561"/>
    </row>
    <row r="274" spans="80:87">
      <c r="CB274" s="640"/>
      <c r="CC274" s="588"/>
      <c r="CD274" s="588"/>
      <c r="CE274" s="589"/>
      <c r="CF274" s="589"/>
      <c r="CG274" s="589"/>
      <c r="CH274" s="561"/>
      <c r="CI274" s="561"/>
    </row>
    <row r="275" spans="80:87">
      <c r="CB275" s="640"/>
      <c r="CC275" s="588"/>
      <c r="CD275" s="588"/>
      <c r="CE275" s="589"/>
      <c r="CF275" s="589"/>
      <c r="CG275" s="589"/>
      <c r="CH275" s="561"/>
      <c r="CI275" s="561"/>
    </row>
    <row r="276" spans="80:87">
      <c r="CB276" s="640"/>
      <c r="CC276" s="588"/>
      <c r="CD276" s="588"/>
      <c r="CE276" s="589"/>
      <c r="CF276" s="589"/>
      <c r="CG276" s="589"/>
      <c r="CH276" s="561"/>
      <c r="CI276" s="561"/>
    </row>
    <row r="277" spans="80:87">
      <c r="CB277" s="640"/>
      <c r="CC277" s="588"/>
      <c r="CD277" s="588"/>
      <c r="CE277" s="589"/>
      <c r="CF277" s="589"/>
      <c r="CG277" s="589"/>
      <c r="CH277" s="561"/>
      <c r="CI277" s="561"/>
    </row>
    <row r="278" spans="80:87">
      <c r="CB278" s="640"/>
      <c r="CC278" s="588"/>
      <c r="CD278" s="588"/>
      <c r="CE278" s="589"/>
      <c r="CF278" s="589"/>
      <c r="CG278" s="589"/>
      <c r="CH278" s="561"/>
      <c r="CI278" s="561"/>
    </row>
    <row r="279" spans="80:87">
      <c r="CB279" s="640"/>
      <c r="CC279" s="588"/>
      <c r="CD279" s="588"/>
      <c r="CE279" s="589"/>
      <c r="CF279" s="589"/>
      <c r="CG279" s="589"/>
      <c r="CH279" s="561"/>
      <c r="CI279" s="561"/>
    </row>
    <row r="280" spans="80:87">
      <c r="CB280" s="640"/>
      <c r="CC280" s="588"/>
      <c r="CD280" s="588"/>
      <c r="CE280" s="589"/>
      <c r="CF280" s="589"/>
      <c r="CG280" s="589"/>
      <c r="CH280" s="561"/>
      <c r="CI280" s="561"/>
    </row>
    <row r="281" spans="80:87">
      <c r="CB281" s="640"/>
      <c r="CC281" s="588"/>
      <c r="CD281" s="588"/>
      <c r="CE281" s="589"/>
      <c r="CF281" s="589"/>
      <c r="CG281" s="589"/>
      <c r="CH281" s="561"/>
      <c r="CI281" s="561"/>
    </row>
    <row r="282" spans="80:87">
      <c r="CB282" s="640"/>
      <c r="CC282" s="588"/>
      <c r="CD282" s="588"/>
      <c r="CE282" s="589"/>
      <c r="CF282" s="589"/>
      <c r="CG282" s="589"/>
      <c r="CH282" s="561"/>
      <c r="CI282" s="561"/>
    </row>
    <row r="283" spans="80:87">
      <c r="CB283" s="640"/>
      <c r="CC283" s="588"/>
      <c r="CD283" s="588"/>
      <c r="CE283" s="589"/>
      <c r="CF283" s="589"/>
      <c r="CG283" s="589"/>
      <c r="CH283" s="561"/>
      <c r="CI283" s="561"/>
    </row>
    <row r="284" spans="80:87">
      <c r="CB284" s="640"/>
      <c r="CC284" s="588"/>
      <c r="CD284" s="588"/>
      <c r="CE284" s="589"/>
      <c r="CF284" s="589"/>
      <c r="CG284" s="589"/>
      <c r="CH284" s="561"/>
      <c r="CI284" s="561"/>
    </row>
    <row r="285" spans="80:87">
      <c r="CB285" s="640"/>
      <c r="CC285" s="588"/>
      <c r="CD285" s="588"/>
      <c r="CE285" s="589"/>
      <c r="CF285" s="589"/>
      <c r="CG285" s="589"/>
      <c r="CH285" s="561"/>
      <c r="CI285" s="561"/>
    </row>
    <row r="286" spans="80:87">
      <c r="CB286" s="640"/>
      <c r="CC286" s="588"/>
      <c r="CD286" s="588"/>
      <c r="CE286" s="589"/>
      <c r="CF286" s="589"/>
      <c r="CG286" s="589"/>
      <c r="CH286" s="561"/>
      <c r="CI286" s="561"/>
    </row>
    <row r="287" spans="80:87">
      <c r="CB287" s="640"/>
      <c r="CC287" s="588"/>
      <c r="CD287" s="588"/>
      <c r="CE287" s="589"/>
      <c r="CF287" s="589"/>
      <c r="CG287" s="589"/>
      <c r="CH287" s="561"/>
      <c r="CI287" s="561"/>
    </row>
    <row r="288" spans="80:87">
      <c r="CB288" s="640"/>
      <c r="CC288" s="588"/>
      <c r="CD288" s="588"/>
      <c r="CE288" s="589"/>
      <c r="CF288" s="589"/>
      <c r="CG288" s="589"/>
      <c r="CH288" s="561"/>
      <c r="CI288" s="561"/>
    </row>
    <row r="289" spans="80:87">
      <c r="CB289" s="640"/>
      <c r="CC289" s="588"/>
      <c r="CD289" s="588"/>
      <c r="CE289" s="589"/>
      <c r="CF289" s="589"/>
      <c r="CG289" s="589"/>
      <c r="CH289" s="561"/>
      <c r="CI289" s="561"/>
    </row>
    <row r="290" spans="80:87">
      <c r="CB290" s="640"/>
      <c r="CC290" s="588"/>
      <c r="CD290" s="588"/>
      <c r="CE290" s="589"/>
      <c r="CF290" s="589"/>
      <c r="CG290" s="589"/>
      <c r="CH290" s="561"/>
      <c r="CI290" s="561"/>
    </row>
    <row r="291" spans="80:87">
      <c r="CB291" s="640"/>
      <c r="CC291" s="588"/>
      <c r="CD291" s="588"/>
      <c r="CE291" s="589"/>
      <c r="CF291" s="589"/>
      <c r="CG291" s="589"/>
      <c r="CH291" s="561"/>
      <c r="CI291" s="561"/>
    </row>
    <row r="292" spans="80:87">
      <c r="CB292" s="640"/>
      <c r="CC292" s="588"/>
      <c r="CD292" s="588"/>
      <c r="CE292" s="589"/>
      <c r="CF292" s="589"/>
      <c r="CG292" s="589"/>
      <c r="CH292" s="561"/>
      <c r="CI292" s="561"/>
    </row>
    <row r="293" spans="80:87">
      <c r="CB293" s="640"/>
      <c r="CC293" s="588"/>
      <c r="CD293" s="588"/>
      <c r="CE293" s="589"/>
      <c r="CF293" s="589"/>
      <c r="CG293" s="589"/>
      <c r="CH293" s="561"/>
      <c r="CI293" s="561"/>
    </row>
    <row r="294" spans="80:87">
      <c r="CB294" s="640"/>
      <c r="CC294" s="588"/>
      <c r="CD294" s="588"/>
      <c r="CE294" s="589"/>
      <c r="CF294" s="589"/>
      <c r="CG294" s="589"/>
      <c r="CH294" s="561"/>
      <c r="CI294" s="561"/>
    </row>
    <row r="295" spans="80:87">
      <c r="CB295" s="640"/>
      <c r="CC295" s="588"/>
      <c r="CD295" s="588"/>
      <c r="CE295" s="589"/>
      <c r="CF295" s="589"/>
      <c r="CG295" s="589"/>
      <c r="CH295" s="561"/>
      <c r="CI295" s="561"/>
    </row>
    <row r="296" spans="80:87">
      <c r="CB296" s="640"/>
      <c r="CC296" s="588"/>
      <c r="CD296" s="588"/>
      <c r="CE296" s="589"/>
      <c r="CF296" s="589"/>
      <c r="CG296" s="589"/>
      <c r="CH296" s="561"/>
      <c r="CI296" s="561"/>
    </row>
    <row r="297" spans="80:87">
      <c r="CB297" s="640"/>
      <c r="CC297" s="588"/>
      <c r="CD297" s="588"/>
      <c r="CE297" s="589"/>
      <c r="CF297" s="589"/>
      <c r="CG297" s="589"/>
      <c r="CH297" s="561"/>
      <c r="CI297" s="561"/>
    </row>
    <row r="298" spans="80:87">
      <c r="CB298" s="640"/>
      <c r="CC298" s="588"/>
      <c r="CD298" s="588"/>
      <c r="CE298" s="589"/>
      <c r="CF298" s="589"/>
      <c r="CG298" s="589"/>
      <c r="CH298" s="561"/>
      <c r="CI298" s="561"/>
    </row>
    <row r="299" spans="80:87">
      <c r="CB299" s="640"/>
      <c r="CC299" s="588"/>
      <c r="CD299" s="588"/>
      <c r="CE299" s="589"/>
      <c r="CF299" s="589"/>
      <c r="CG299" s="589"/>
      <c r="CH299" s="561"/>
      <c r="CI299" s="561"/>
    </row>
    <row r="300" spans="80:87">
      <c r="CB300" s="640"/>
      <c r="CC300" s="588"/>
      <c r="CD300" s="588"/>
      <c r="CE300" s="589"/>
      <c r="CF300" s="589"/>
      <c r="CG300" s="589"/>
      <c r="CH300" s="561"/>
      <c r="CI300" s="561"/>
    </row>
    <row r="301" spans="80:87">
      <c r="CB301" s="640"/>
      <c r="CC301" s="588"/>
      <c r="CD301" s="588"/>
      <c r="CE301" s="589"/>
      <c r="CF301" s="589"/>
      <c r="CG301" s="589"/>
      <c r="CH301" s="561"/>
      <c r="CI301" s="561"/>
    </row>
    <row r="302" spans="80:87">
      <c r="CB302" s="640"/>
      <c r="CC302" s="588"/>
      <c r="CD302" s="588"/>
      <c r="CE302" s="589"/>
      <c r="CF302" s="589"/>
      <c r="CG302" s="589"/>
      <c r="CH302" s="561"/>
      <c r="CI302" s="561"/>
    </row>
    <row r="303" spans="80:87">
      <c r="CB303" s="640"/>
      <c r="CC303" s="588"/>
      <c r="CD303" s="588"/>
      <c r="CE303" s="589"/>
      <c r="CF303" s="589"/>
      <c r="CG303" s="589"/>
      <c r="CH303" s="561"/>
      <c r="CI303" s="561"/>
    </row>
    <row r="304" spans="80:87">
      <c r="CB304" s="640"/>
      <c r="CC304" s="588"/>
      <c r="CD304" s="588"/>
      <c r="CE304" s="589"/>
      <c r="CF304" s="589"/>
      <c r="CG304" s="589"/>
      <c r="CH304" s="561"/>
      <c r="CI304" s="561"/>
    </row>
    <row r="305" spans="80:87">
      <c r="CB305" s="640"/>
      <c r="CC305" s="588"/>
      <c r="CD305" s="588"/>
      <c r="CE305" s="589"/>
      <c r="CF305" s="589"/>
      <c r="CG305" s="589"/>
      <c r="CH305" s="561"/>
      <c r="CI305" s="561"/>
    </row>
    <row r="306" spans="80:87">
      <c r="CB306" s="640"/>
      <c r="CC306" s="588"/>
      <c r="CD306" s="588"/>
      <c r="CE306" s="589"/>
      <c r="CF306" s="589"/>
      <c r="CG306" s="589"/>
      <c r="CH306" s="561"/>
      <c r="CI306" s="561"/>
    </row>
    <row r="307" spans="80:87">
      <c r="CB307" s="640"/>
      <c r="CC307" s="588"/>
      <c r="CD307" s="588"/>
      <c r="CE307" s="589"/>
      <c r="CF307" s="589"/>
      <c r="CG307" s="589"/>
      <c r="CH307" s="561"/>
      <c r="CI307" s="561"/>
    </row>
    <row r="308" spans="80:87">
      <c r="CB308" s="640"/>
      <c r="CC308" s="588"/>
      <c r="CD308" s="588"/>
      <c r="CE308" s="589"/>
      <c r="CF308" s="589"/>
      <c r="CG308" s="589"/>
      <c r="CH308" s="561"/>
      <c r="CI308" s="561"/>
    </row>
    <row r="309" spans="80:87">
      <c r="CB309" s="640"/>
      <c r="CC309" s="588"/>
      <c r="CD309" s="588"/>
      <c r="CE309" s="589"/>
      <c r="CF309" s="589"/>
      <c r="CG309" s="589"/>
      <c r="CH309" s="561"/>
      <c r="CI309" s="561"/>
    </row>
    <row r="310" spans="80:87">
      <c r="CB310" s="640"/>
      <c r="CC310" s="588"/>
      <c r="CD310" s="588"/>
      <c r="CE310" s="589"/>
      <c r="CF310" s="589"/>
      <c r="CG310" s="589"/>
      <c r="CH310" s="561"/>
      <c r="CI310" s="561"/>
    </row>
    <row r="311" spans="80:87">
      <c r="CB311" s="640"/>
      <c r="CC311" s="588"/>
      <c r="CD311" s="588"/>
      <c r="CE311" s="589"/>
      <c r="CF311" s="589"/>
      <c r="CG311" s="589"/>
      <c r="CH311" s="561"/>
      <c r="CI311" s="561"/>
    </row>
    <row r="312" spans="80:87">
      <c r="CB312" s="640"/>
      <c r="CC312" s="588"/>
      <c r="CD312" s="588"/>
      <c r="CE312" s="589"/>
      <c r="CF312" s="589"/>
      <c r="CG312" s="589"/>
      <c r="CH312" s="561"/>
      <c r="CI312" s="561"/>
    </row>
    <row r="313" spans="80:87">
      <c r="CB313" s="640"/>
      <c r="CC313" s="588"/>
      <c r="CD313" s="588"/>
      <c r="CE313" s="589"/>
      <c r="CF313" s="589"/>
      <c r="CG313" s="589"/>
      <c r="CH313" s="561"/>
      <c r="CI313" s="561"/>
    </row>
    <row r="314" spans="80:87">
      <c r="CB314" s="640"/>
      <c r="CC314" s="588"/>
      <c r="CD314" s="588"/>
      <c r="CE314" s="589"/>
      <c r="CF314" s="589"/>
      <c r="CG314" s="589"/>
      <c r="CH314" s="561"/>
      <c r="CI314" s="561"/>
    </row>
    <row r="315" spans="80:87">
      <c r="CB315" s="640"/>
      <c r="CC315" s="588"/>
      <c r="CD315" s="588"/>
      <c r="CE315" s="589"/>
      <c r="CF315" s="589"/>
      <c r="CG315" s="589"/>
      <c r="CH315" s="561"/>
      <c r="CI315" s="561"/>
    </row>
    <row r="316" spans="80:87">
      <c r="CB316" s="640"/>
      <c r="CC316" s="588"/>
      <c r="CD316" s="588"/>
      <c r="CE316" s="589"/>
      <c r="CF316" s="589"/>
      <c r="CG316" s="589"/>
      <c r="CH316" s="561"/>
      <c r="CI316" s="561"/>
    </row>
    <row r="317" spans="80:87">
      <c r="CB317" s="640"/>
      <c r="CC317" s="588"/>
      <c r="CD317" s="588"/>
      <c r="CE317" s="589"/>
      <c r="CF317" s="589"/>
      <c r="CG317" s="589"/>
      <c r="CH317" s="561"/>
      <c r="CI317" s="561"/>
    </row>
    <row r="318" spans="80:87">
      <c r="CB318" s="640"/>
      <c r="CC318" s="588"/>
      <c r="CD318" s="588"/>
      <c r="CE318" s="589"/>
      <c r="CF318" s="589"/>
      <c r="CG318" s="589"/>
      <c r="CH318" s="561"/>
      <c r="CI318" s="561"/>
    </row>
    <row r="319" spans="80:87">
      <c r="CB319" s="640"/>
      <c r="CC319" s="588"/>
      <c r="CD319" s="588"/>
      <c r="CE319" s="589"/>
      <c r="CF319" s="589"/>
      <c r="CG319" s="589"/>
      <c r="CH319" s="561"/>
      <c r="CI319" s="561"/>
    </row>
    <row r="320" spans="80:87">
      <c r="CB320" s="640"/>
      <c r="CC320" s="588"/>
      <c r="CD320" s="588"/>
      <c r="CE320" s="589"/>
      <c r="CF320" s="589"/>
      <c r="CG320" s="589"/>
      <c r="CH320" s="561"/>
      <c r="CI320" s="561"/>
    </row>
    <row r="321" spans="80:87">
      <c r="CB321" s="640"/>
      <c r="CC321" s="588"/>
      <c r="CD321" s="588"/>
      <c r="CE321" s="589"/>
      <c r="CF321" s="589"/>
      <c r="CG321" s="589"/>
      <c r="CH321" s="561"/>
      <c r="CI321" s="561"/>
    </row>
    <row r="322" spans="80:87">
      <c r="CB322" s="640"/>
      <c r="CC322" s="588"/>
      <c r="CD322" s="588"/>
      <c r="CE322" s="589"/>
      <c r="CF322" s="589"/>
      <c r="CG322" s="589"/>
      <c r="CH322" s="561"/>
      <c r="CI322" s="561"/>
    </row>
    <row r="323" spans="80:87">
      <c r="CB323" s="640"/>
      <c r="CC323" s="588"/>
      <c r="CD323" s="588"/>
      <c r="CE323" s="589"/>
      <c r="CF323" s="589"/>
      <c r="CG323" s="589"/>
      <c r="CH323" s="561"/>
      <c r="CI323" s="561"/>
    </row>
    <row r="324" spans="80:87">
      <c r="CB324" s="640"/>
      <c r="CC324" s="588"/>
      <c r="CD324" s="588"/>
      <c r="CE324" s="589"/>
      <c r="CF324" s="589"/>
      <c r="CG324" s="589"/>
      <c r="CH324" s="561"/>
      <c r="CI324" s="561"/>
    </row>
    <row r="325" spans="80:87">
      <c r="CB325" s="640"/>
      <c r="CC325" s="588"/>
      <c r="CD325" s="588"/>
      <c r="CE325" s="589"/>
      <c r="CF325" s="589"/>
      <c r="CG325" s="589"/>
      <c r="CH325" s="561"/>
      <c r="CI325" s="561"/>
    </row>
    <row r="326" spans="80:87">
      <c r="CB326" s="640"/>
      <c r="CC326" s="588"/>
      <c r="CD326" s="588"/>
      <c r="CE326" s="589"/>
      <c r="CF326" s="589"/>
      <c r="CG326" s="589"/>
      <c r="CH326" s="561"/>
      <c r="CI326" s="561"/>
    </row>
    <row r="327" spans="80:87">
      <c r="CB327" s="640"/>
      <c r="CC327" s="588"/>
      <c r="CD327" s="588"/>
      <c r="CE327" s="589"/>
      <c r="CF327" s="589"/>
      <c r="CG327" s="589"/>
      <c r="CH327" s="561"/>
      <c r="CI327" s="561"/>
    </row>
    <row r="328" spans="80:87">
      <c r="CB328" s="640"/>
      <c r="CC328" s="588"/>
      <c r="CD328" s="588"/>
      <c r="CE328" s="589"/>
      <c r="CF328" s="589"/>
      <c r="CG328" s="589"/>
      <c r="CH328" s="561"/>
      <c r="CI328" s="561"/>
    </row>
    <row r="329" spans="80:87">
      <c r="CB329" s="640"/>
      <c r="CC329" s="588"/>
      <c r="CD329" s="588"/>
      <c r="CE329" s="589"/>
      <c r="CF329" s="589"/>
      <c r="CG329" s="589"/>
      <c r="CH329" s="561"/>
      <c r="CI329" s="561"/>
    </row>
    <row r="330" spans="80:87">
      <c r="CB330" s="640"/>
      <c r="CC330" s="588"/>
      <c r="CD330" s="588"/>
      <c r="CE330" s="589"/>
      <c r="CF330" s="589"/>
      <c r="CG330" s="589"/>
      <c r="CH330" s="561"/>
      <c r="CI330" s="561"/>
    </row>
    <row r="331" spans="80:87">
      <c r="CB331" s="640"/>
      <c r="CC331" s="588"/>
      <c r="CD331" s="588"/>
      <c r="CE331" s="589"/>
      <c r="CF331" s="589"/>
      <c r="CG331" s="589"/>
      <c r="CH331" s="561"/>
      <c r="CI331" s="561"/>
    </row>
    <row r="332" spans="80:87">
      <c r="CB332" s="640"/>
      <c r="CC332" s="588"/>
      <c r="CD332" s="588"/>
      <c r="CE332" s="589"/>
      <c r="CF332" s="589"/>
      <c r="CG332" s="589"/>
      <c r="CH332" s="561"/>
      <c r="CI332" s="561"/>
    </row>
    <row r="333" spans="80:87">
      <c r="CB333" s="640"/>
      <c r="CC333" s="588"/>
      <c r="CD333" s="588"/>
      <c r="CE333" s="589"/>
      <c r="CF333" s="589"/>
      <c r="CG333" s="589"/>
      <c r="CH333" s="561"/>
      <c r="CI333" s="561"/>
    </row>
    <row r="334" spans="80:87">
      <c r="CB334" s="640"/>
      <c r="CC334" s="588"/>
      <c r="CD334" s="588"/>
      <c r="CE334" s="589"/>
      <c r="CF334" s="589"/>
      <c r="CG334" s="589"/>
      <c r="CH334" s="561"/>
      <c r="CI334" s="561"/>
    </row>
    <row r="335" spans="80:87">
      <c r="CB335" s="640"/>
      <c r="CC335" s="588"/>
      <c r="CD335" s="588"/>
      <c r="CE335" s="589"/>
      <c r="CF335" s="589"/>
      <c r="CG335" s="589"/>
      <c r="CH335" s="561"/>
      <c r="CI335" s="561"/>
    </row>
    <row r="336" spans="80:87">
      <c r="CB336" s="640"/>
      <c r="CC336" s="588"/>
      <c r="CD336" s="588"/>
      <c r="CE336" s="589"/>
      <c r="CF336" s="589"/>
      <c r="CG336" s="589"/>
      <c r="CH336" s="561"/>
      <c r="CI336" s="561"/>
    </row>
    <row r="337" spans="80:87">
      <c r="CB337" s="640"/>
      <c r="CC337" s="588"/>
      <c r="CD337" s="588"/>
      <c r="CE337" s="589"/>
      <c r="CF337" s="589"/>
      <c r="CG337" s="589"/>
      <c r="CH337" s="561"/>
      <c r="CI337" s="561"/>
    </row>
    <row r="338" spans="80:87">
      <c r="CB338" s="640"/>
      <c r="CC338" s="588"/>
      <c r="CD338" s="588"/>
      <c r="CE338" s="589"/>
      <c r="CF338" s="589"/>
      <c r="CG338" s="589"/>
      <c r="CH338" s="561"/>
      <c r="CI338" s="561"/>
    </row>
    <row r="339" spans="80:87">
      <c r="CB339" s="640"/>
      <c r="CC339" s="588"/>
      <c r="CD339" s="588"/>
      <c r="CE339" s="589"/>
      <c r="CF339" s="589"/>
      <c r="CG339" s="589"/>
      <c r="CH339" s="561"/>
      <c r="CI339" s="561"/>
    </row>
    <row r="340" spans="80:87">
      <c r="CB340" s="640"/>
      <c r="CC340" s="588"/>
      <c r="CD340" s="588"/>
      <c r="CE340" s="589"/>
      <c r="CF340" s="589"/>
      <c r="CG340" s="589"/>
      <c r="CH340" s="561"/>
      <c r="CI340" s="561"/>
    </row>
    <row r="341" spans="80:87">
      <c r="CB341" s="640"/>
      <c r="CC341" s="588"/>
      <c r="CD341" s="588"/>
      <c r="CE341" s="589"/>
      <c r="CF341" s="589"/>
      <c r="CG341" s="589"/>
      <c r="CH341" s="561"/>
      <c r="CI341" s="561"/>
    </row>
    <row r="342" spans="80:87">
      <c r="CB342" s="640"/>
      <c r="CC342" s="588"/>
      <c r="CD342" s="588"/>
      <c r="CE342" s="589"/>
      <c r="CF342" s="589"/>
      <c r="CG342" s="589"/>
      <c r="CH342" s="561"/>
      <c r="CI342" s="561"/>
    </row>
    <row r="343" spans="80:87">
      <c r="CB343" s="640"/>
      <c r="CC343" s="588"/>
      <c r="CD343" s="588"/>
      <c r="CE343" s="589"/>
      <c r="CF343" s="589"/>
      <c r="CG343" s="589"/>
      <c r="CH343" s="561"/>
      <c r="CI343" s="561"/>
    </row>
    <row r="344" spans="80:87">
      <c r="CB344" s="640"/>
      <c r="CC344" s="588"/>
      <c r="CD344" s="588"/>
      <c r="CE344" s="589"/>
      <c r="CF344" s="589"/>
      <c r="CG344" s="589"/>
      <c r="CH344" s="561"/>
      <c r="CI344" s="561"/>
    </row>
    <row r="345" spans="80:87">
      <c r="CB345" s="640"/>
      <c r="CC345" s="588"/>
      <c r="CD345" s="588"/>
      <c r="CE345" s="589"/>
      <c r="CF345" s="589"/>
      <c r="CG345" s="589"/>
      <c r="CH345" s="561"/>
      <c r="CI345" s="561"/>
    </row>
    <row r="346" spans="80:87">
      <c r="CB346" s="640"/>
      <c r="CC346" s="588"/>
      <c r="CD346" s="588"/>
      <c r="CE346" s="589"/>
      <c r="CF346" s="589"/>
      <c r="CG346" s="589"/>
      <c r="CH346" s="561"/>
      <c r="CI346" s="561"/>
    </row>
    <row r="347" spans="80:87">
      <c r="CB347" s="640"/>
      <c r="CC347" s="588"/>
      <c r="CD347" s="588"/>
      <c r="CE347" s="589"/>
      <c r="CF347" s="589"/>
      <c r="CG347" s="589"/>
      <c r="CH347" s="561"/>
      <c r="CI347" s="561"/>
    </row>
    <row r="348" spans="80:87">
      <c r="CB348" s="640"/>
      <c r="CC348" s="588"/>
      <c r="CD348" s="588"/>
      <c r="CE348" s="589"/>
      <c r="CF348" s="589"/>
      <c r="CG348" s="589"/>
      <c r="CH348" s="561"/>
      <c r="CI348" s="561"/>
    </row>
    <row r="349" spans="80:87">
      <c r="CB349" s="640"/>
      <c r="CC349" s="588"/>
      <c r="CD349" s="588"/>
      <c r="CE349" s="589"/>
      <c r="CF349" s="589"/>
      <c r="CG349" s="589"/>
      <c r="CH349" s="561"/>
      <c r="CI349" s="561"/>
    </row>
    <row r="350" spans="80:87">
      <c r="CB350" s="640"/>
      <c r="CC350" s="588"/>
      <c r="CD350" s="588"/>
      <c r="CE350" s="589"/>
      <c r="CF350" s="589"/>
      <c r="CG350" s="589"/>
      <c r="CH350" s="561"/>
      <c r="CI350" s="561"/>
    </row>
    <row r="351" spans="80:87">
      <c r="CB351" s="640"/>
      <c r="CC351" s="588"/>
      <c r="CD351" s="588"/>
      <c r="CE351" s="589"/>
      <c r="CF351" s="589"/>
      <c r="CG351" s="589"/>
      <c r="CH351" s="561"/>
      <c r="CI351" s="561"/>
    </row>
    <row r="352" spans="80:87">
      <c r="CB352" s="640"/>
      <c r="CC352" s="588"/>
      <c r="CD352" s="588"/>
      <c r="CE352" s="589"/>
      <c r="CF352" s="589"/>
      <c r="CG352" s="589"/>
      <c r="CH352" s="561"/>
      <c r="CI352" s="561"/>
    </row>
    <row r="353" spans="80:87">
      <c r="CB353" s="640"/>
      <c r="CC353" s="588"/>
      <c r="CD353" s="588"/>
      <c r="CE353" s="589"/>
      <c r="CF353" s="589"/>
      <c r="CG353" s="589"/>
      <c r="CH353" s="561"/>
      <c r="CI353" s="561"/>
    </row>
    <row r="354" spans="80:87">
      <c r="CB354" s="640"/>
      <c r="CC354" s="588"/>
      <c r="CD354" s="588"/>
      <c r="CE354" s="589"/>
      <c r="CF354" s="589"/>
      <c r="CG354" s="589"/>
      <c r="CH354" s="561"/>
      <c r="CI354" s="561"/>
    </row>
    <row r="355" spans="80:87">
      <c r="CB355" s="640"/>
      <c r="CC355" s="588"/>
      <c r="CD355" s="588"/>
      <c r="CE355" s="589"/>
      <c r="CF355" s="589"/>
      <c r="CG355" s="589"/>
      <c r="CH355" s="561"/>
      <c r="CI355" s="561"/>
    </row>
    <row r="356" spans="80:87">
      <c r="CB356" s="640"/>
      <c r="CC356" s="588"/>
      <c r="CD356" s="588"/>
      <c r="CE356" s="589"/>
      <c r="CF356" s="589"/>
      <c r="CG356" s="589"/>
      <c r="CH356" s="561"/>
      <c r="CI356" s="561"/>
    </row>
    <row r="357" spans="80:87">
      <c r="CB357" s="640"/>
      <c r="CC357" s="588"/>
      <c r="CD357" s="588"/>
      <c r="CE357" s="589"/>
      <c r="CF357" s="589"/>
      <c r="CG357" s="589"/>
      <c r="CH357" s="561"/>
      <c r="CI357" s="561"/>
    </row>
    <row r="358" spans="80:87">
      <c r="CB358" s="640"/>
      <c r="CC358" s="588"/>
      <c r="CD358" s="588"/>
      <c r="CE358" s="589"/>
      <c r="CF358" s="589"/>
      <c r="CG358" s="589"/>
      <c r="CH358" s="561"/>
      <c r="CI358" s="561"/>
    </row>
    <row r="359" spans="80:87">
      <c r="CB359" s="640"/>
      <c r="CC359" s="588"/>
      <c r="CD359" s="588"/>
      <c r="CE359" s="589"/>
      <c r="CF359" s="589"/>
      <c r="CG359" s="589"/>
      <c r="CH359" s="561"/>
      <c r="CI359" s="561"/>
    </row>
    <row r="360" spans="80:87">
      <c r="CB360" s="640"/>
      <c r="CC360" s="588"/>
      <c r="CD360" s="588"/>
      <c r="CE360" s="589"/>
      <c r="CF360" s="589"/>
      <c r="CG360" s="589"/>
      <c r="CH360" s="561"/>
      <c r="CI360" s="561"/>
    </row>
    <row r="361" spans="80:87">
      <c r="CB361" s="640"/>
      <c r="CC361" s="588"/>
      <c r="CD361" s="588"/>
      <c r="CE361" s="589"/>
      <c r="CF361" s="589"/>
      <c r="CG361" s="589"/>
      <c r="CH361" s="561"/>
      <c r="CI361" s="561"/>
    </row>
    <row r="362" spans="80:87">
      <c r="CB362" s="640"/>
      <c r="CC362" s="588"/>
      <c r="CD362" s="588"/>
      <c r="CE362" s="589"/>
      <c r="CF362" s="589"/>
      <c r="CG362" s="589"/>
      <c r="CH362" s="561"/>
      <c r="CI362" s="561"/>
    </row>
    <row r="363" spans="80:87">
      <c r="CB363" s="640"/>
      <c r="CC363" s="588"/>
      <c r="CD363" s="588"/>
      <c r="CE363" s="589"/>
      <c r="CF363" s="589"/>
      <c r="CG363" s="589"/>
      <c r="CH363" s="561"/>
      <c r="CI363" s="561"/>
    </row>
    <row r="364" spans="80:87">
      <c r="CB364" s="640"/>
      <c r="CC364" s="588"/>
      <c r="CD364" s="588"/>
      <c r="CE364" s="589"/>
      <c r="CF364" s="589"/>
      <c r="CG364" s="589"/>
      <c r="CH364" s="561"/>
      <c r="CI364" s="561"/>
    </row>
    <row r="365" spans="80:87">
      <c r="CB365" s="640"/>
      <c r="CC365" s="588"/>
      <c r="CD365" s="588"/>
      <c r="CE365" s="589"/>
      <c r="CF365" s="589"/>
      <c r="CG365" s="589"/>
      <c r="CH365" s="561"/>
      <c r="CI365" s="561"/>
    </row>
    <row r="366" spans="80:87">
      <c r="CB366" s="640"/>
      <c r="CC366" s="588"/>
      <c r="CD366" s="588"/>
      <c r="CE366" s="589"/>
      <c r="CF366" s="589"/>
      <c r="CG366" s="589"/>
      <c r="CH366" s="561"/>
      <c r="CI366" s="561"/>
    </row>
    <row r="367" spans="80:87">
      <c r="CB367" s="640"/>
      <c r="CC367" s="588"/>
      <c r="CD367" s="588"/>
      <c r="CE367" s="589"/>
      <c r="CF367" s="589"/>
      <c r="CG367" s="589"/>
      <c r="CH367" s="561"/>
      <c r="CI367" s="561"/>
    </row>
    <row r="368" spans="80:87">
      <c r="CB368" s="640"/>
      <c r="CC368" s="588"/>
      <c r="CD368" s="588"/>
      <c r="CE368" s="589"/>
      <c r="CF368" s="589"/>
      <c r="CG368" s="589"/>
      <c r="CH368" s="561"/>
      <c r="CI368" s="561"/>
    </row>
    <row r="369" spans="80:87">
      <c r="CB369" s="640"/>
      <c r="CC369" s="588"/>
      <c r="CD369" s="588"/>
      <c r="CE369" s="589"/>
      <c r="CF369" s="589"/>
      <c r="CG369" s="589"/>
      <c r="CH369" s="561"/>
      <c r="CI369" s="561"/>
    </row>
    <row r="370" spans="80:87">
      <c r="CB370" s="640"/>
      <c r="CC370" s="588"/>
      <c r="CD370" s="588"/>
      <c r="CE370" s="589"/>
      <c r="CF370" s="589"/>
      <c r="CG370" s="589"/>
      <c r="CH370" s="561"/>
      <c r="CI370" s="561"/>
    </row>
    <row r="371" spans="80:87">
      <c r="CB371" s="640"/>
      <c r="CC371" s="588"/>
      <c r="CD371" s="588"/>
      <c r="CE371" s="589"/>
      <c r="CF371" s="589"/>
      <c r="CG371" s="589"/>
      <c r="CH371" s="561"/>
      <c r="CI371" s="561"/>
    </row>
    <row r="372" spans="80:87">
      <c r="CB372" s="640"/>
      <c r="CC372" s="588"/>
      <c r="CD372" s="588"/>
      <c r="CE372" s="589"/>
      <c r="CF372" s="589"/>
      <c r="CG372" s="589"/>
      <c r="CH372" s="561"/>
      <c r="CI372" s="561"/>
    </row>
    <row r="373" spans="80:87">
      <c r="CB373" s="640"/>
      <c r="CC373" s="588"/>
      <c r="CD373" s="588"/>
      <c r="CE373" s="589"/>
      <c r="CF373" s="589"/>
      <c r="CG373" s="589"/>
      <c r="CH373" s="561"/>
      <c r="CI373" s="561"/>
    </row>
    <row r="374" spans="80:87">
      <c r="CB374" s="640"/>
      <c r="CC374" s="588"/>
      <c r="CD374" s="588"/>
      <c r="CE374" s="589"/>
      <c r="CF374" s="589"/>
      <c r="CG374" s="589"/>
      <c r="CH374" s="561"/>
      <c r="CI374" s="561"/>
    </row>
    <row r="375" spans="80:87">
      <c r="CB375" s="640"/>
      <c r="CC375" s="588"/>
      <c r="CD375" s="588"/>
      <c r="CE375" s="589"/>
      <c r="CF375" s="589"/>
      <c r="CG375" s="589"/>
      <c r="CH375" s="561"/>
      <c r="CI375" s="561"/>
    </row>
    <row r="376" spans="80:87">
      <c r="CB376" s="640"/>
      <c r="CC376" s="588"/>
      <c r="CD376" s="588"/>
      <c r="CE376" s="589"/>
      <c r="CF376" s="589"/>
      <c r="CG376" s="589"/>
      <c r="CH376" s="561"/>
      <c r="CI376" s="561"/>
    </row>
    <row r="377" spans="80:87">
      <c r="CB377" s="640"/>
      <c r="CC377" s="588"/>
      <c r="CD377" s="588"/>
      <c r="CE377" s="589"/>
      <c r="CF377" s="589"/>
      <c r="CG377" s="589"/>
      <c r="CH377" s="561"/>
      <c r="CI377" s="561"/>
    </row>
    <row r="378" spans="80:87">
      <c r="CB378" s="640"/>
      <c r="CC378" s="588"/>
      <c r="CD378" s="588"/>
      <c r="CE378" s="589"/>
      <c r="CF378" s="589"/>
      <c r="CG378" s="589"/>
      <c r="CH378" s="561"/>
      <c r="CI378" s="561"/>
    </row>
    <row r="379" spans="80:87">
      <c r="CB379" s="640"/>
      <c r="CC379" s="588"/>
      <c r="CD379" s="588"/>
      <c r="CE379" s="589"/>
      <c r="CF379" s="589"/>
      <c r="CG379" s="589"/>
      <c r="CH379" s="561"/>
      <c r="CI379" s="561"/>
    </row>
    <row r="380" spans="80:87">
      <c r="CB380" s="640"/>
      <c r="CC380" s="588"/>
      <c r="CD380" s="588"/>
      <c r="CE380" s="589"/>
      <c r="CF380" s="589"/>
      <c r="CG380" s="589"/>
      <c r="CH380" s="561"/>
      <c r="CI380" s="561"/>
    </row>
    <row r="381" spans="80:87">
      <c r="CB381" s="640"/>
      <c r="CC381" s="588"/>
      <c r="CD381" s="588"/>
      <c r="CE381" s="589"/>
      <c r="CF381" s="589"/>
      <c r="CG381" s="589"/>
      <c r="CH381" s="561"/>
      <c r="CI381" s="561"/>
    </row>
    <row r="382" spans="80:87">
      <c r="CB382" s="640"/>
      <c r="CC382" s="588"/>
      <c r="CD382" s="588"/>
      <c r="CE382" s="589"/>
      <c r="CF382" s="589"/>
      <c r="CG382" s="589"/>
      <c r="CH382" s="561"/>
      <c r="CI382" s="561"/>
    </row>
    <row r="383" spans="80:87">
      <c r="CB383" s="640"/>
      <c r="CC383" s="588"/>
      <c r="CD383" s="588"/>
      <c r="CE383" s="589"/>
      <c r="CF383" s="589"/>
      <c r="CG383" s="589"/>
      <c r="CH383" s="561"/>
      <c r="CI383" s="561"/>
    </row>
    <row r="384" spans="80:87">
      <c r="CB384" s="640"/>
      <c r="CC384" s="588"/>
      <c r="CD384" s="588"/>
      <c r="CE384" s="589"/>
      <c r="CF384" s="589"/>
      <c r="CG384" s="589"/>
      <c r="CH384" s="561"/>
      <c r="CI384" s="561"/>
    </row>
    <row r="385" spans="80:87">
      <c r="CB385" s="640"/>
      <c r="CC385" s="588"/>
      <c r="CD385" s="588"/>
      <c r="CE385" s="589"/>
      <c r="CF385" s="589"/>
      <c r="CG385" s="589"/>
      <c r="CH385" s="561"/>
      <c r="CI385" s="561"/>
    </row>
    <row r="386" spans="80:87">
      <c r="CB386" s="640"/>
      <c r="CC386" s="588"/>
      <c r="CD386" s="588"/>
      <c r="CE386" s="589"/>
      <c r="CF386" s="589"/>
      <c r="CG386" s="589"/>
      <c r="CH386" s="561"/>
      <c r="CI386" s="561"/>
    </row>
    <row r="387" spans="80:87">
      <c r="CB387" s="640"/>
      <c r="CC387" s="588"/>
      <c r="CD387" s="588"/>
      <c r="CE387" s="589"/>
      <c r="CF387" s="589"/>
      <c r="CG387" s="589"/>
      <c r="CH387" s="561"/>
      <c r="CI387" s="561"/>
    </row>
    <row r="388" spans="80:87">
      <c r="CB388" s="640"/>
      <c r="CC388" s="588"/>
      <c r="CD388" s="588"/>
      <c r="CE388" s="589"/>
      <c r="CF388" s="589"/>
      <c r="CG388" s="589"/>
      <c r="CH388" s="561"/>
      <c r="CI388" s="561"/>
    </row>
    <row r="389" spans="80:87">
      <c r="CB389" s="640"/>
      <c r="CC389" s="588"/>
      <c r="CD389" s="588"/>
      <c r="CE389" s="589"/>
      <c r="CF389" s="589"/>
      <c r="CG389" s="589"/>
      <c r="CH389" s="561"/>
      <c r="CI389" s="561"/>
    </row>
    <row r="390" spans="80:87">
      <c r="CB390" s="640"/>
      <c r="CC390" s="588"/>
      <c r="CD390" s="588"/>
      <c r="CE390" s="589"/>
      <c r="CF390" s="589"/>
      <c r="CG390" s="589"/>
      <c r="CH390" s="561"/>
      <c r="CI390" s="561"/>
    </row>
    <row r="391" spans="80:87">
      <c r="CB391" s="640"/>
      <c r="CC391" s="588"/>
      <c r="CD391" s="588"/>
      <c r="CE391" s="589"/>
      <c r="CF391" s="589"/>
      <c r="CG391" s="589"/>
      <c r="CH391" s="561"/>
      <c r="CI391" s="561"/>
    </row>
    <row r="392" spans="80:87">
      <c r="CB392" s="640"/>
      <c r="CC392" s="588"/>
      <c r="CD392" s="588"/>
      <c r="CE392" s="589"/>
      <c r="CF392" s="589"/>
      <c r="CG392" s="589"/>
      <c r="CH392" s="561"/>
      <c r="CI392" s="561"/>
    </row>
    <row r="393" spans="80:87">
      <c r="CB393" s="640"/>
      <c r="CC393" s="588"/>
      <c r="CD393" s="588"/>
      <c r="CE393" s="589"/>
      <c r="CF393" s="589"/>
      <c r="CG393" s="589"/>
      <c r="CH393" s="561"/>
      <c r="CI393" s="561"/>
    </row>
    <row r="394" spans="80:87">
      <c r="CB394" s="640"/>
      <c r="CC394" s="588"/>
      <c r="CD394" s="588"/>
      <c r="CE394" s="589"/>
      <c r="CF394" s="589"/>
      <c r="CG394" s="589"/>
      <c r="CH394" s="561"/>
      <c r="CI394" s="561"/>
    </row>
    <row r="395" spans="80:87">
      <c r="CB395" s="640"/>
      <c r="CC395" s="588"/>
      <c r="CD395" s="588"/>
      <c r="CE395" s="589"/>
      <c r="CF395" s="589"/>
      <c r="CG395" s="589"/>
      <c r="CH395" s="561"/>
      <c r="CI395" s="561"/>
    </row>
    <row r="396" spans="80:87">
      <c r="CB396" s="640"/>
      <c r="CC396" s="588"/>
      <c r="CD396" s="588"/>
      <c r="CE396" s="589"/>
      <c r="CF396" s="589"/>
      <c r="CG396" s="589"/>
      <c r="CH396" s="561"/>
      <c r="CI396" s="561"/>
    </row>
    <row r="397" spans="80:87">
      <c r="CB397" s="640"/>
      <c r="CC397" s="588"/>
      <c r="CD397" s="588"/>
      <c r="CE397" s="589"/>
      <c r="CF397" s="589"/>
      <c r="CG397" s="589"/>
      <c r="CH397" s="561"/>
      <c r="CI397" s="561"/>
    </row>
    <row r="398" spans="80:87">
      <c r="CB398" s="640"/>
      <c r="CC398" s="588"/>
      <c r="CD398" s="588"/>
      <c r="CE398" s="589"/>
      <c r="CF398" s="589"/>
      <c r="CG398" s="589"/>
      <c r="CH398" s="561"/>
      <c r="CI398" s="561"/>
    </row>
    <row r="399" spans="80:87">
      <c r="CB399" s="640"/>
      <c r="CC399" s="588"/>
      <c r="CD399" s="588"/>
      <c r="CE399" s="589"/>
      <c r="CF399" s="589"/>
      <c r="CG399" s="589"/>
      <c r="CH399" s="561"/>
      <c r="CI399" s="561"/>
    </row>
    <row r="400" spans="80:87">
      <c r="CB400" s="640"/>
      <c r="CC400" s="588"/>
      <c r="CD400" s="588"/>
      <c r="CE400" s="589"/>
      <c r="CF400" s="589"/>
      <c r="CG400" s="589"/>
      <c r="CH400" s="561"/>
      <c r="CI400" s="561"/>
    </row>
  </sheetData>
  <sheetProtection selectLockedCells="1"/>
  <mergeCells count="17">
    <mergeCell ref="R3:R7"/>
    <mergeCell ref="Z27:AI28"/>
    <mergeCell ref="Z40:Z48"/>
    <mergeCell ref="AA40:AB48"/>
    <mergeCell ref="AD56:AI56"/>
    <mergeCell ref="AD64:AI64"/>
    <mergeCell ref="AD65:AI65"/>
    <mergeCell ref="AD66:AI66"/>
    <mergeCell ref="AD67:AI67"/>
    <mergeCell ref="Z30:AB38"/>
    <mergeCell ref="AD58:AI58"/>
    <mergeCell ref="AD59:AI59"/>
    <mergeCell ref="AD60:AI60"/>
    <mergeCell ref="AD61:AI61"/>
    <mergeCell ref="AD62:AI62"/>
    <mergeCell ref="AD63:AI63"/>
    <mergeCell ref="AD57:AI57"/>
  </mergeCells>
  <conditionalFormatting sqref="T78:X84 T56:X57">
    <cfRule type="cellIs" dxfId="308" priority="49" stopIfTrue="1" operator="equal">
      <formula>E56</formula>
    </cfRule>
  </conditionalFormatting>
  <conditionalFormatting sqref="D16:D54 D56:D57 D78:D84">
    <cfRule type="cellIs" dxfId="307" priority="50" stopIfTrue="1" operator="equal">
      <formula>C16</formula>
    </cfRule>
    <cfRule type="cellIs" dxfId="306" priority="51" stopIfTrue="1" operator="lessThan">
      <formula>C16</formula>
    </cfRule>
    <cfRule type="cellIs" dxfId="305" priority="52" stopIfTrue="1" operator="greaterThan">
      <formula>C16</formula>
    </cfRule>
  </conditionalFormatting>
  <conditionalFormatting sqref="AH43 AD47 AD48:AI48 AD40:AD45">
    <cfRule type="cellIs" dxfId="304" priority="53" stopIfTrue="1" operator="equal">
      <formula>$A$33</formula>
    </cfRule>
  </conditionalFormatting>
  <conditionalFormatting sqref="AD16:AE25 AD30:AD37 AD3:AF8 AH3:AI12 AD11:AF12 AD9:AE10">
    <cfRule type="cellIs" dxfId="303" priority="54" stopIfTrue="1" operator="equal">
      <formula>0</formula>
    </cfRule>
    <cfRule type="cellIs" dxfId="302" priority="55" stopIfTrue="1" operator="equal">
      <formula>""</formula>
    </cfRule>
  </conditionalFormatting>
  <conditionalFormatting sqref="AB3:AB12">
    <cfRule type="cellIs" dxfId="301" priority="56" stopIfTrue="1" operator="equal">
      <formula>0</formula>
    </cfRule>
  </conditionalFormatting>
  <conditionalFormatting sqref="Y82:Y84">
    <cfRule type="cellIs" dxfId="300" priority="57" stopIfTrue="1" operator="equal">
      <formula>G82</formula>
    </cfRule>
    <cfRule type="cellIs" dxfId="299" priority="58" stopIfTrue="1" operator="lessThan">
      <formula>G82</formula>
    </cfRule>
    <cfRule type="cellIs" dxfId="298" priority="59" stopIfTrue="1" operator="greaterThan">
      <formula>G82</formula>
    </cfRule>
  </conditionalFormatting>
  <conditionalFormatting sqref="R16:R57">
    <cfRule type="cellIs" dxfId="297" priority="48" operator="greaterThanOrEqual">
      <formula>0.5</formula>
    </cfRule>
  </conditionalFormatting>
  <conditionalFormatting sqref="E16:N54">
    <cfRule type="cellIs" dxfId="296" priority="47" operator="equal">
      <formula>MAX($E16:$M16)</formula>
    </cfRule>
  </conditionalFormatting>
  <conditionalFormatting sqref="L56">
    <cfRule type="cellIs" dxfId="295" priority="46" operator="equal">
      <formula>MAX($E56:$M56)</formula>
    </cfRule>
  </conditionalFormatting>
  <conditionalFormatting sqref="M56">
    <cfRule type="cellIs" dxfId="294" priority="45" operator="equal">
      <formula>MAX($E56:$M56)</formula>
    </cfRule>
  </conditionalFormatting>
  <conditionalFormatting sqref="V56:W56 V16:W54">
    <cfRule type="cellIs" dxfId="293" priority="44" operator="lessThan">
      <formula>1</formula>
    </cfRule>
  </conditionalFormatting>
  <conditionalFormatting sqref="D48">
    <cfRule type="cellIs" dxfId="292" priority="41" stopIfTrue="1" operator="equal">
      <formula>C48</formula>
    </cfRule>
    <cfRule type="cellIs" dxfId="291" priority="42" stopIfTrue="1" operator="lessThan">
      <formula>C48</formula>
    </cfRule>
    <cfRule type="cellIs" dxfId="290" priority="43" stopIfTrue="1" operator="greaterThan">
      <formula>C48</formula>
    </cfRule>
  </conditionalFormatting>
  <conditionalFormatting sqref="D49">
    <cfRule type="cellIs" dxfId="289" priority="38" stopIfTrue="1" operator="equal">
      <formula>C49</formula>
    </cfRule>
    <cfRule type="cellIs" dxfId="288" priority="39" stopIfTrue="1" operator="lessThan">
      <formula>C49</formula>
    </cfRule>
    <cfRule type="cellIs" dxfId="287" priority="40" stopIfTrue="1" operator="greaterThan">
      <formula>C49</formula>
    </cfRule>
  </conditionalFormatting>
  <conditionalFormatting sqref="D50:D51">
    <cfRule type="cellIs" dxfId="286" priority="35" stopIfTrue="1" operator="equal">
      <formula>C50</formula>
    </cfRule>
    <cfRule type="cellIs" dxfId="285" priority="36" stopIfTrue="1" operator="lessThan">
      <formula>C50</formula>
    </cfRule>
    <cfRule type="cellIs" dxfId="284" priority="37" stopIfTrue="1" operator="greaterThan">
      <formula>C50</formula>
    </cfRule>
  </conditionalFormatting>
  <conditionalFormatting sqref="AH16:AH25">
    <cfRule type="containsText" dxfId="283" priority="31" operator="containsText" text="muzillac">
      <formula>NOT(ISERROR(SEARCH("muzillac",AH16)))</formula>
    </cfRule>
    <cfRule type="containsText" dxfId="282" priority="32" operator="containsText" text="Tournoi">
      <formula>NOT(ISERROR(SEARCH("Tournoi",AH16)))</formula>
    </cfRule>
    <cfRule type="containsText" dxfId="281" priority="33" operator="containsText" text="AG M">
      <formula>NOT(ISERROR(SEARCH("AG M",AH16)))</formula>
    </cfRule>
    <cfRule type="containsText" dxfId="280" priority="34" operator="containsText" text="comité">
      <formula>NOT(ISERROR(SEARCH("comité",AH16)))</formula>
    </cfRule>
  </conditionalFormatting>
  <conditionalFormatting sqref="AI16:AI25">
    <cfRule type="expression" dxfId="279" priority="28">
      <formula>LEFT(AH16,6)="tourno"</formula>
    </cfRule>
    <cfRule type="expression" dxfId="278" priority="29">
      <formula>LEFT(AH16,2)="AG"</formula>
    </cfRule>
    <cfRule type="expression" dxfId="277" priority="30">
      <formula>LEFT(AH16,6)="comité"</formula>
    </cfRule>
  </conditionalFormatting>
  <conditionalFormatting sqref="D52">
    <cfRule type="cellIs" dxfId="276" priority="25" stopIfTrue="1" operator="equal">
      <formula>C52</formula>
    </cfRule>
    <cfRule type="cellIs" dxfId="275" priority="26" stopIfTrue="1" operator="lessThan">
      <formula>C52</formula>
    </cfRule>
    <cfRule type="cellIs" dxfId="274" priority="27" stopIfTrue="1" operator="greaterThan">
      <formula>C52</formula>
    </cfRule>
  </conditionalFormatting>
  <conditionalFormatting sqref="D53:D54">
    <cfRule type="cellIs" dxfId="273" priority="22" stopIfTrue="1" operator="equal">
      <formula>C53</formula>
    </cfRule>
    <cfRule type="cellIs" dxfId="272" priority="23" stopIfTrue="1" operator="lessThan">
      <formula>C53</formula>
    </cfRule>
    <cfRule type="cellIs" dxfId="271" priority="24" stopIfTrue="1" operator="greaterThan">
      <formula>C53</formula>
    </cfRule>
  </conditionalFormatting>
  <conditionalFormatting sqref="F48:F49 F52">
    <cfRule type="cellIs" dxfId="270" priority="60" operator="equal">
      <formula>MAX($E49:$M49)</formula>
    </cfRule>
  </conditionalFormatting>
  <conditionalFormatting sqref="D55">
    <cfRule type="cellIs" dxfId="269" priority="19" stopIfTrue="1" operator="equal">
      <formula>C55</formula>
    </cfRule>
    <cfRule type="cellIs" dxfId="268" priority="20" stopIfTrue="1" operator="lessThan">
      <formula>C55</formula>
    </cfRule>
    <cfRule type="cellIs" dxfId="267" priority="21" stopIfTrue="1" operator="greaterThan">
      <formula>C55</formula>
    </cfRule>
  </conditionalFormatting>
  <conditionalFormatting sqref="E55:N55">
    <cfRule type="cellIs" dxfId="266" priority="18" operator="equal">
      <formula>MAX($E55:$M55)</formula>
    </cfRule>
  </conditionalFormatting>
  <conditionalFormatting sqref="V55:W55">
    <cfRule type="cellIs" dxfId="265" priority="17" operator="lessThan">
      <formula>1</formula>
    </cfRule>
  </conditionalFormatting>
  <conditionalFormatting sqref="D55">
    <cfRule type="cellIs" dxfId="264" priority="14" stopIfTrue="1" operator="equal">
      <formula>C55</formula>
    </cfRule>
    <cfRule type="cellIs" dxfId="263" priority="15" stopIfTrue="1" operator="lessThan">
      <formula>C55</formula>
    </cfRule>
    <cfRule type="cellIs" dxfId="262" priority="16" stopIfTrue="1" operator="greaterThan">
      <formula>C55</formula>
    </cfRule>
  </conditionalFormatting>
  <conditionalFormatting sqref="D56">
    <cfRule type="cellIs" dxfId="261" priority="11" stopIfTrue="1" operator="equal">
      <formula>C56</formula>
    </cfRule>
    <cfRule type="cellIs" dxfId="260" priority="12" stopIfTrue="1" operator="lessThan">
      <formula>C56</formula>
    </cfRule>
    <cfRule type="cellIs" dxfId="259" priority="13" stopIfTrue="1" operator="greaterThan">
      <formula>C56</formula>
    </cfRule>
  </conditionalFormatting>
  <conditionalFormatting sqref="E56:N56">
    <cfRule type="cellIs" dxfId="258" priority="10" operator="equal">
      <formula>MAX($E56:$M56)</formula>
    </cfRule>
  </conditionalFormatting>
  <conditionalFormatting sqref="V56:W56">
    <cfRule type="cellIs" dxfId="257" priority="9" operator="lessThan">
      <formula>1</formula>
    </cfRule>
  </conditionalFormatting>
  <conditionalFormatting sqref="D56">
    <cfRule type="cellIs" dxfId="256" priority="6" stopIfTrue="1" operator="equal">
      <formula>C56</formula>
    </cfRule>
    <cfRule type="cellIs" dxfId="255" priority="7" stopIfTrue="1" operator="lessThan">
      <formula>C56</formula>
    </cfRule>
    <cfRule type="cellIs" dxfId="254" priority="8" stopIfTrue="1" operator="greaterThan">
      <formula>C56</formula>
    </cfRule>
  </conditionalFormatting>
  <conditionalFormatting sqref="E55:H55">
    <cfRule type="cellIs" dxfId="253" priority="5" operator="equal">
      <formula>MAX($E55:$M55)</formula>
    </cfRule>
  </conditionalFormatting>
  <conditionalFormatting sqref="E55:H55">
    <cfRule type="cellIs" dxfId="252" priority="4" operator="equal">
      <formula>MAX($E55:$M55)</formula>
    </cfRule>
  </conditionalFormatting>
  <conditionalFormatting sqref="E56:H56">
    <cfRule type="cellIs" dxfId="251" priority="3" operator="equal">
      <formula>MAX($E56:$M56)</formula>
    </cfRule>
  </conditionalFormatting>
  <conditionalFormatting sqref="E56:H56">
    <cfRule type="cellIs" dxfId="250" priority="2" operator="equal">
      <formula>MAX($E56:$M56)</formula>
    </cfRule>
  </conditionalFormatting>
  <conditionalFormatting sqref="E56:H56">
    <cfRule type="cellIs" dxfId="249" priority="1" operator="equal">
      <formula>MAX($E56:$M56)</formula>
    </cfRule>
  </conditionalFormatting>
  <dataValidations count="1">
    <dataValidation type="list" allowBlank="1" showInputMessage="1" showErrorMessage="1" sqref="AD66:AJ67">
      <formula1>$AO$3:$AO$52</formula1>
    </dataValidation>
  </dataValidations>
  <hyperlinks>
    <hyperlink ref="B15" r:id="rId1" tooltip="Points mensuels actualisés FFTT" display="Joueurs"/>
    <hyperlink ref="BZ16" r:id="rId2" display="http://premium-p1ds4k2rfmjhh3.eu.clickandbuy.com/php3/FFTTfi.php3?session=precision%3D5616074%26reqid%3D200&amp;cler=LElewVhNeIo6M"/>
    <hyperlink ref="BZ17" r:id="rId3" display="http://premium-p1ds4k2rfmjhh3.eu.clickandbuy.com/php3/FFTTfi.php3?session=precision%3D567155%20%26reqid%3D200&amp;cler=LElewVhNeIo6M"/>
    <hyperlink ref="BZ18" r:id="rId4" display="http://premium-p1ds4k2rfmjhh3.eu.clickandbuy.com/php3/FFTTfi.php3?session=precision%3D564229%20%26reqid%3D200&amp;cler=LElewVhNeIo6M"/>
    <hyperlink ref="BZ19" r:id="rId5" display="http://premium-p1ds4k2rfmjhh3.eu.clickandbuy.com/php3/FFTTfi.php3?session=precision%3D5615484%26reqid%3D200&amp;cler=LElewVhNeIo6M"/>
    <hyperlink ref="BZ20" r:id="rId6" display="http://premium-p1ds4k2rfmjhh3.eu.clickandbuy.com/php3/FFTTfi.php3?session=precision%3D5617068%26reqid%3D200&amp;cler=LElewVhNeIo6M"/>
    <hyperlink ref="BZ21" r:id="rId7" display="http://premium-p1ds4k2rfmjhh3.eu.clickandbuy.com/php3/FFTTfi.php3?session=precision%3D5618074%26reqid%3D200&amp;cler=LElewVhNeIo6M"/>
    <hyperlink ref="BZ22" r:id="rId8" display="http://premium-p1ds4k2rfmjhh3.eu.clickandbuy.com/php3/FFTTfi.php3?session=precision%3D5616305%26reqid%3D200&amp;cler=LElewVhNeIo6M"/>
    <hyperlink ref="BZ23" r:id="rId9" display="http://premium-p1ds4k2rfmjhh3.eu.clickandbuy.com/php3/FFTTfi.php3?session=precision%3D56174%20%20%26reqid%3D200&amp;cler=LElewVhNeIo6M"/>
    <hyperlink ref="BZ24" r:id="rId10" display="http://premium-p1ds4k2rfmjhh3.eu.clickandbuy.com/php3/FFTTfi.php3?session=precision%3D5611974%26reqid%3D200&amp;cler=LElewVhNeIo6M"/>
    <hyperlink ref="BZ25" r:id="rId11" display="http://premium-p1ds4k2rfmjhh3.eu.clickandbuy.com/php3/FFTTfi.php3?session=precision%3D5610286%26reqid%3D200&amp;cler=LElewVhNeIo6M"/>
    <hyperlink ref="BZ26" r:id="rId12" display="http://premium-p1ds4k2rfmjhh3.eu.clickandbuy.com/php3/FFTTfi.php3?session=precision%3D5612944%26reqid%3D200&amp;cler=LElewVhNeIo6M"/>
    <hyperlink ref="BZ27" r:id="rId13" display="http://premium-p1ds4k2rfmjhh3.eu.clickandbuy.com/php3/FFTTfi.php3?session=precision%3D568061%20%26reqid%3D200&amp;cler=LElewVhNeIo6M"/>
    <hyperlink ref="BZ28" r:id="rId14" display="http://premium-p1ds4k2rfmjhh3.eu.clickandbuy.com/php3/FFTTfi.php3?session=precision%3D5617727%26reqid%3D200&amp;cler=LElewVhNeIo6M"/>
    <hyperlink ref="BZ29" r:id="rId15" display="http://premium-p1ds4k2rfmjhh3.eu.clickandbuy.com/php3/FFTTfi.php3?session=precision%3D5616533%26reqid%3D200&amp;cler=LElewVhNeIo6M"/>
    <hyperlink ref="BZ30" r:id="rId16" display="http://premium-p1ds4k2rfmjhh3.eu.clickandbuy.com/php3/FFTTfi.php3?session=precision%3D5617210%26reqid%3D200&amp;cler=LElewVhNeIo6M"/>
    <hyperlink ref="BZ31" r:id="rId17" display="http://premium-p1ds4k2rfmjhh3.eu.clickandbuy.com/php3/FFTTfi.php3?session=precision%3D5617733%26reqid%3D200&amp;cler=LElewVhNeIo6M"/>
    <hyperlink ref="BZ32" r:id="rId18" display="http://premium-p1ds4k2rfmjhh3.eu.clickandbuy.com/php3/FFTTfi.php3?session=precision%3D5612200%26reqid%3D200&amp;cler=LElewVhNeIo6M"/>
    <hyperlink ref="BZ33" r:id="rId19" display="http://premium-p1ds4k2rfmjhh3.eu.clickandbuy.com/php3/FFTTfi.php3?session=precision%3D5615073%26reqid%3D200&amp;cler=LElewVhNeIo6M"/>
    <hyperlink ref="BZ34" r:id="rId20" display="http://premium-p1ds4k2rfmjhh3.eu.clickandbuy.com/php3/FFTTfi.php3?session=precision%3D5617211%26reqid%3D200&amp;cler=LElewVhNeIo6M"/>
    <hyperlink ref="BZ35" r:id="rId21" display="http://premium-p1ds4k2rfmjhh3.eu.clickandbuy.com/php3/FFTTfi.php3?session=precision%3D5617212%26reqid%3D200&amp;cler=LElewVhNeIo6M"/>
    <hyperlink ref="BZ36" r:id="rId22" display="http://premium-p1ds4k2rfmjhh3.eu.clickandbuy.com/php3/FFTTfi.php3?session=precision%3D7844662%26reqid%3D200&amp;cler=LElewVhNeIo6M"/>
    <hyperlink ref="BZ37" r:id="rId23" display="http://premium-p1ds4k2rfmjhh3.eu.clickandbuy.com/php3/FFTTfi.php3?session=precision%3D5617255%26reqid%3D200&amp;cler=LElewVhNeIo6M"/>
    <hyperlink ref="BZ38" r:id="rId24" display="http://premium-p1ds4k2rfmjhh3.eu.clickandbuy.com/php3/FFTTfi.php3?session=precision%3D5617082%26reqid%3D200&amp;cler=LElewVhNeIo6M"/>
    <hyperlink ref="BZ39" r:id="rId25" display="http://premium-p1ds4k2rfmjhh3.eu.clickandbuy.com/php3/FFTTfi.php3?session=precision%3D5617728%26reqid%3D200&amp;cler=LElewVhNeIo6M"/>
    <hyperlink ref="BZ40" r:id="rId26" display="http://premium-p1ds4k2rfmjhh3.eu.clickandbuy.com/php3/FFTTfi.php3?session=precision%3D5617259%26reqid%3D200&amp;cler=LElewVhNeIo6M"/>
    <hyperlink ref="BZ41" r:id="rId27" display="http://premium-p1ds4k2rfmjhh3.eu.clickandbuy.com/php3/FFTTfi.php3?session=precision%3D5617000%26reqid%3D200&amp;cler=LEzdFU54wEOJ6"/>
    <hyperlink ref="BZ42" r:id="rId28" display="http://premium-p1ds4k2rfmjhh3.eu.clickandbuy.com/php3/FFTTfi.php3?session=precision%3D4428055%26reqid%3D200&amp;cler=LEzdFU54wEOJ6"/>
    <hyperlink ref="BZ43" r:id="rId29" display="http://premium-p1ds4k2rfmjhh3.eu.clickandbuy.com/php3/FFTTfi.php3?session=precision%3D5615483%26reqid%3D200&amp;cler=LEzdFU54wEOJ6"/>
    <hyperlink ref="BZ44" r:id="rId30" display="http://premium-p1ds4k2rfmjhh3.eu.clickandbuy.com/php3/FFTTfi.php3?session=precision%3D5921179%26reqid%3D200&amp;cler=LEzdFU54wEOJ6"/>
    <hyperlink ref="BZ45" r:id="rId31" display="http://premium-p1ds4k2rfmjhh3.eu.clickandbuy.com/php3/FFTTfi.php3?session=precision%3D5615601%26reqid%3D200&amp;cler=LEzdFU54wEOJ6"/>
    <hyperlink ref="BZ46" r:id="rId32" display="http://premium-p1ds4k2rfmjhh3.eu.clickandbuy.com/php3/FFTTfi.php3?session=precision%3D568995%20%26reqid%3D300&amp;cler=LEzdFU54wEOJ6"/>
    <hyperlink ref="BZ47" r:id="rId33" display="http://premium-p1ds4k2rfmjhh3.eu.clickandbuy.com/php3/FFTTfi.php3?session=precision%3D5617437%26reqid%3D300&amp;cler=LEzdFU54wEOJ6"/>
  </hyperlinks>
  <pageMargins left="0.25" right="0.25" top="0.75" bottom="0.75" header="0.3" footer="0.3"/>
  <pageSetup paperSize="9" scale="56" fitToWidth="2" orientation="portrait" horizontalDpi="1200" verticalDpi="360" r:id="rId34"/>
  <headerFooter alignWithMargins="0">
    <oddHeader xml:space="preserve">&amp;C&amp;"Arial,Gras"&amp;14
&amp;R&amp;"Arial,Gras"&amp;14
</oddHeader>
  </headerFooter>
  <colBreaks count="1" manualBreakCount="1">
    <brk id="24" max="56" man="1"/>
  </colBreaks>
  <drawing r:id="rId3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69"/>
  <sheetViews>
    <sheetView zoomScale="75" zoomScaleNormal="75" workbookViewId="0">
      <selection activeCell="A47" sqref="A47:IV47"/>
    </sheetView>
  </sheetViews>
  <sheetFormatPr baseColWidth="10" defaultRowHeight="12.75"/>
  <cols>
    <col min="1" max="1" width="30" style="192" bestFit="1" customWidth="1"/>
    <col min="2" max="2" width="7" style="286" bestFit="1" customWidth="1"/>
    <col min="3" max="3" width="10.7109375" style="192" customWidth="1"/>
    <col min="4" max="4" width="30" style="192" bestFit="1" customWidth="1"/>
    <col min="5" max="5" width="7" style="286" bestFit="1" customWidth="1"/>
    <col min="6" max="6" width="10.7109375" style="192" customWidth="1"/>
    <col min="7" max="7" width="28.28515625" style="192" bestFit="1" customWidth="1"/>
    <col min="8" max="8" width="7" style="286" bestFit="1" customWidth="1"/>
    <col min="9" max="9" width="10.7109375" style="192" customWidth="1"/>
    <col min="10" max="10" width="28.28515625" style="192" bestFit="1" customWidth="1"/>
    <col min="11" max="11" width="7" style="286" bestFit="1" customWidth="1"/>
    <col min="12" max="12" width="10.5703125" style="192" customWidth="1"/>
    <col min="13" max="13" width="29.140625" style="192" bestFit="1" customWidth="1"/>
    <col min="14" max="14" width="7" style="286" bestFit="1" customWidth="1"/>
    <col min="15" max="15" width="12.42578125" style="192" bestFit="1" customWidth="1"/>
    <col min="16" max="16" width="31.5703125" style="192" customWidth="1"/>
    <col min="17" max="17" width="7" style="286" bestFit="1" customWidth="1"/>
    <col min="18" max="18" width="9.85546875" style="286" customWidth="1"/>
    <col min="19" max="19" width="11.42578125" style="192"/>
    <col min="20" max="20" width="4" style="192" bestFit="1" customWidth="1"/>
    <col min="21" max="21" width="28.28515625" style="192" bestFit="1" customWidth="1"/>
    <col min="22" max="22" width="7.140625" style="192" bestFit="1" customWidth="1"/>
    <col min="23" max="23" width="9.42578125" style="192" bestFit="1" customWidth="1"/>
    <col min="24" max="24" width="28.28515625" style="192" bestFit="1" customWidth="1"/>
    <col min="25" max="25" width="7.140625" style="192" bestFit="1" customWidth="1"/>
    <col min="26" max="26" width="9.42578125" style="192" bestFit="1" customWidth="1"/>
    <col min="27" max="27" width="28.28515625" style="192" bestFit="1" customWidth="1"/>
    <col min="28" max="28" width="7.140625" style="192" bestFit="1" customWidth="1"/>
    <col min="29" max="29" width="10.42578125" style="192" customWidth="1"/>
    <col min="30" max="30" width="29.140625" style="192" bestFit="1" customWidth="1"/>
    <col min="31" max="31" width="7.140625" style="192" bestFit="1" customWidth="1"/>
    <col min="32" max="32" width="11.42578125" style="192"/>
    <col min="33" max="33" width="29.85546875" style="192" bestFit="1" customWidth="1"/>
    <col min="34" max="34" width="7.140625" style="192" bestFit="1" customWidth="1"/>
    <col min="35" max="35" width="11.42578125" style="192"/>
    <col min="36" max="36" width="29.7109375" style="192" bestFit="1" customWidth="1"/>
    <col min="37" max="16384" width="11.42578125" style="192"/>
  </cols>
  <sheetData>
    <row r="1" spans="1:36" ht="43.5" customHeight="1">
      <c r="A1" s="189" t="s">
        <v>188</v>
      </c>
      <c r="B1" s="190"/>
      <c r="C1" s="191"/>
      <c r="D1" s="189" t="s">
        <v>189</v>
      </c>
      <c r="E1" s="190"/>
      <c r="F1" s="191"/>
      <c r="G1" s="189" t="s">
        <v>190</v>
      </c>
      <c r="H1" s="190"/>
      <c r="I1" s="191"/>
      <c r="J1" s="189" t="s">
        <v>191</v>
      </c>
      <c r="K1" s="190"/>
      <c r="L1" s="191"/>
      <c r="M1" s="189" t="s">
        <v>192</v>
      </c>
      <c r="N1" s="190"/>
      <c r="O1" s="191"/>
      <c r="P1" s="189" t="s">
        <v>193</v>
      </c>
      <c r="Q1" s="190"/>
      <c r="R1" s="191"/>
      <c r="U1" s="193" t="s">
        <v>188</v>
      </c>
      <c r="V1" s="194"/>
      <c r="W1" s="195"/>
      <c r="X1" s="193" t="s">
        <v>189</v>
      </c>
      <c r="Y1" s="194"/>
      <c r="Z1" s="195"/>
      <c r="AA1" s="193" t="s">
        <v>190</v>
      </c>
      <c r="AB1" s="194"/>
      <c r="AC1" s="195"/>
      <c r="AD1" s="193" t="s">
        <v>191</v>
      </c>
      <c r="AE1" s="194"/>
      <c r="AF1" s="195"/>
      <c r="AG1" s="193" t="s">
        <v>192</v>
      </c>
      <c r="AH1" s="194"/>
      <c r="AI1" s="195"/>
      <c r="AJ1" s="193" t="s">
        <v>193</v>
      </c>
    </row>
    <row r="2" spans="1:36" s="204" customFormat="1" ht="36.75" customHeight="1">
      <c r="A2" s="287" t="s">
        <v>194</v>
      </c>
      <c r="B2" s="201"/>
      <c r="C2" s="202"/>
      <c r="D2" s="288" t="s">
        <v>195</v>
      </c>
      <c r="E2" s="201"/>
      <c r="F2" s="202"/>
      <c r="G2" s="200" t="s">
        <v>196</v>
      </c>
      <c r="H2" s="201"/>
      <c r="I2" s="202"/>
      <c r="J2" s="200" t="s">
        <v>197</v>
      </c>
      <c r="K2" s="201"/>
      <c r="L2" s="202"/>
      <c r="M2" s="289" t="s">
        <v>196</v>
      </c>
      <c r="N2" s="201"/>
      <c r="O2" s="202"/>
      <c r="P2" s="200" t="s">
        <v>194</v>
      </c>
      <c r="Q2" s="201"/>
      <c r="R2" s="202"/>
    </row>
    <row r="3" spans="1:36" ht="18" customHeight="1">
      <c r="A3" s="198" t="s">
        <v>198</v>
      </c>
      <c r="B3" s="196"/>
      <c r="C3" s="197"/>
      <c r="D3" s="198" t="s">
        <v>199</v>
      </c>
      <c r="E3" s="196"/>
      <c r="F3" s="197"/>
      <c r="G3" s="198" t="s">
        <v>200</v>
      </c>
      <c r="H3" s="196"/>
      <c r="I3" s="197"/>
      <c r="J3" s="198" t="s">
        <v>201</v>
      </c>
      <c r="K3" s="196"/>
      <c r="L3" s="197"/>
      <c r="M3" s="198" t="s">
        <v>202</v>
      </c>
      <c r="N3" s="196"/>
      <c r="O3" s="197"/>
      <c r="P3" s="198" t="s">
        <v>203</v>
      </c>
      <c r="Q3" s="196"/>
      <c r="R3" s="197"/>
      <c r="S3" s="1311" t="s">
        <v>204</v>
      </c>
      <c r="T3" s="199"/>
    </row>
    <row r="4" spans="1:36" ht="18">
      <c r="A4" s="198" t="s">
        <v>205</v>
      </c>
      <c r="B4" s="196"/>
      <c r="C4" s="197"/>
      <c r="D4" s="198" t="s">
        <v>206</v>
      </c>
      <c r="E4" s="196"/>
      <c r="F4" s="197"/>
      <c r="G4" s="198" t="s">
        <v>207</v>
      </c>
      <c r="H4" s="196"/>
      <c r="I4" s="197"/>
      <c r="J4" s="198" t="s">
        <v>208</v>
      </c>
      <c r="K4" s="196"/>
      <c r="L4" s="197"/>
      <c r="M4" s="198" t="s">
        <v>209</v>
      </c>
      <c r="N4" s="196"/>
      <c r="O4" s="197"/>
      <c r="P4" s="198" t="s">
        <v>210</v>
      </c>
      <c r="Q4" s="196"/>
      <c r="R4" s="197"/>
      <c r="S4" s="1311"/>
      <c r="T4" s="199"/>
    </row>
    <row r="5" spans="1:36" s="204" customFormat="1" ht="27" customHeight="1">
      <c r="A5" s="200" t="s">
        <v>211</v>
      </c>
      <c r="B5" s="201"/>
      <c r="C5" s="202"/>
      <c r="D5" s="200" t="s">
        <v>212</v>
      </c>
      <c r="E5" s="201"/>
      <c r="F5" s="202"/>
      <c r="G5" s="200" t="s">
        <v>213</v>
      </c>
      <c r="H5" s="201"/>
      <c r="I5" s="202"/>
      <c r="J5" s="200" t="s">
        <v>214</v>
      </c>
      <c r="K5" s="201"/>
      <c r="L5" s="202"/>
      <c r="M5" s="200" t="s">
        <v>214</v>
      </c>
      <c r="N5" s="201"/>
      <c r="O5" s="202"/>
      <c r="P5" s="200" t="s">
        <v>215</v>
      </c>
      <c r="Q5" s="201"/>
      <c r="R5" s="202"/>
      <c r="S5" s="1311"/>
      <c r="T5" s="203"/>
    </row>
    <row r="6" spans="1:36" ht="47.25" customHeight="1">
      <c r="A6" s="205" t="s">
        <v>216</v>
      </c>
      <c r="B6" s="206">
        <v>35</v>
      </c>
      <c r="C6" s="207">
        <v>0.64</v>
      </c>
      <c r="D6" s="205" t="s">
        <v>216</v>
      </c>
      <c r="E6" s="206">
        <v>40</v>
      </c>
      <c r="F6" s="207">
        <v>0.65</v>
      </c>
      <c r="G6" s="205" t="s">
        <v>216</v>
      </c>
      <c r="H6" s="206">
        <v>26</v>
      </c>
      <c r="I6" s="207">
        <v>0.57777777777777772</v>
      </c>
      <c r="J6" s="205" t="s">
        <v>216</v>
      </c>
      <c r="K6" s="206">
        <v>24</v>
      </c>
      <c r="L6" s="207">
        <v>0.49</v>
      </c>
      <c r="M6" s="205" t="s">
        <v>216</v>
      </c>
      <c r="N6" s="206">
        <v>23</v>
      </c>
      <c r="O6" s="207">
        <f>23/45</f>
        <v>0.51111111111111107</v>
      </c>
      <c r="P6" s="205" t="s">
        <v>216</v>
      </c>
      <c r="Q6" s="206">
        <v>27</v>
      </c>
      <c r="R6" s="207">
        <f>27/55</f>
        <v>0.49090909090909091</v>
      </c>
      <c r="S6" s="1311"/>
      <c r="T6" s="199"/>
    </row>
    <row r="7" spans="1:36" ht="18">
      <c r="A7" s="205" t="s">
        <v>217</v>
      </c>
      <c r="B7" s="206">
        <v>4</v>
      </c>
      <c r="C7" s="207">
        <v>7.0000000000000007E-2</v>
      </c>
      <c r="D7" s="205" t="s">
        <v>217</v>
      </c>
      <c r="E7" s="206">
        <v>6.0010404630531964</v>
      </c>
      <c r="F7" s="207">
        <v>9.8377712509068793E-2</v>
      </c>
      <c r="G7" s="205" t="s">
        <v>217</v>
      </c>
      <c r="H7" s="206">
        <v>5</v>
      </c>
      <c r="I7" s="207">
        <v>0.1111111111111111</v>
      </c>
      <c r="J7" s="205" t="s">
        <v>217</v>
      </c>
      <c r="K7" s="206">
        <v>4</v>
      </c>
      <c r="L7" s="207">
        <v>0.08</v>
      </c>
      <c r="M7" s="205" t="s">
        <v>217</v>
      </c>
      <c r="N7" s="206">
        <v>5</v>
      </c>
      <c r="O7" s="207">
        <f>5/45</f>
        <v>0.1111111111111111</v>
      </c>
      <c r="P7" s="205" t="s">
        <v>218</v>
      </c>
      <c r="Q7" s="206">
        <v>10</v>
      </c>
      <c r="R7" s="207">
        <f>10/55</f>
        <v>0.18181818181818182</v>
      </c>
      <c r="S7" s="1311"/>
      <c r="T7" s="199"/>
    </row>
    <row r="8" spans="1:36" ht="18">
      <c r="A8" s="205" t="s">
        <v>219</v>
      </c>
      <c r="B8" s="206">
        <v>4</v>
      </c>
      <c r="C8" s="207">
        <v>7.0000000000000007E-2</v>
      </c>
      <c r="D8" s="205" t="s">
        <v>218</v>
      </c>
      <c r="E8" s="206">
        <v>2</v>
      </c>
      <c r="F8" s="207">
        <v>0.03</v>
      </c>
      <c r="G8" s="205" t="s">
        <v>220</v>
      </c>
      <c r="H8" s="206">
        <v>4</v>
      </c>
      <c r="I8" s="207">
        <v>8.8888888888888892E-2</v>
      </c>
      <c r="J8" s="205" t="s">
        <v>218</v>
      </c>
      <c r="K8" s="206">
        <v>4</v>
      </c>
      <c r="L8" s="207">
        <v>0.08</v>
      </c>
      <c r="M8" s="205" t="s">
        <v>219</v>
      </c>
      <c r="N8" s="206">
        <v>4</v>
      </c>
      <c r="O8" s="207">
        <f>4/45</f>
        <v>8.8888888888888892E-2</v>
      </c>
      <c r="P8" s="205" t="s">
        <v>219</v>
      </c>
      <c r="Q8" s="206">
        <v>4</v>
      </c>
      <c r="R8" s="207">
        <f>4/55</f>
        <v>7.2727272727272724E-2</v>
      </c>
      <c r="S8" s="1311"/>
      <c r="T8" s="199"/>
    </row>
    <row r="9" spans="1:36" ht="18">
      <c r="A9" s="205" t="s">
        <v>218</v>
      </c>
      <c r="B9" s="206">
        <v>2.0097408579355407</v>
      </c>
      <c r="C9" s="207">
        <v>0.04</v>
      </c>
      <c r="D9" s="205" t="s">
        <v>221</v>
      </c>
      <c r="E9" s="206">
        <v>2.0097408579355407</v>
      </c>
      <c r="F9" s="207">
        <v>3.2946571441566243E-2</v>
      </c>
      <c r="G9" s="205" t="s">
        <v>219</v>
      </c>
      <c r="H9" s="206">
        <v>3</v>
      </c>
      <c r="I9" s="207">
        <v>6.6666666666666666E-2</v>
      </c>
      <c r="J9" s="205" t="s">
        <v>219</v>
      </c>
      <c r="K9" s="206">
        <v>3</v>
      </c>
      <c r="L9" s="207">
        <v>0.06</v>
      </c>
      <c r="M9" s="205" t="s">
        <v>220</v>
      </c>
      <c r="N9" s="206">
        <v>3</v>
      </c>
      <c r="O9" s="207">
        <f>3/45</f>
        <v>6.6666666666666666E-2</v>
      </c>
      <c r="P9" s="205" t="s">
        <v>217</v>
      </c>
      <c r="Q9" s="206">
        <v>4</v>
      </c>
      <c r="R9" s="207">
        <v>7.0000000000000007E-2</v>
      </c>
      <c r="S9" s="1311"/>
      <c r="T9" s="199"/>
    </row>
    <row r="10" spans="1:36" ht="20.25" customHeight="1">
      <c r="A10" s="208" t="s">
        <v>222</v>
      </c>
      <c r="B10" s="209">
        <v>10</v>
      </c>
      <c r="C10" s="210">
        <v>0.18</v>
      </c>
      <c r="D10" s="208" t="s">
        <v>222</v>
      </c>
      <c r="E10" s="209">
        <v>11.981414546088686</v>
      </c>
      <c r="F10" s="210">
        <v>0.19</v>
      </c>
      <c r="G10" s="208" t="s">
        <v>222</v>
      </c>
      <c r="H10" s="209">
        <v>7</v>
      </c>
      <c r="I10" s="210">
        <v>0.15555555555555556</v>
      </c>
      <c r="J10" s="208" t="s">
        <v>222</v>
      </c>
      <c r="K10" s="209">
        <v>14</v>
      </c>
      <c r="L10" s="210">
        <v>0.28999999999999998</v>
      </c>
      <c r="M10" s="208" t="s">
        <v>222</v>
      </c>
      <c r="N10" s="209">
        <v>10</v>
      </c>
      <c r="O10" s="210">
        <f>10/45</f>
        <v>0.22222222222222221</v>
      </c>
      <c r="P10" s="208" t="s">
        <v>222</v>
      </c>
      <c r="Q10" s="209">
        <v>10</v>
      </c>
      <c r="R10" s="210">
        <v>0.18</v>
      </c>
      <c r="S10" s="1311"/>
      <c r="T10" s="199"/>
    </row>
    <row r="11" spans="1:36">
      <c r="A11" s="199"/>
      <c r="B11" s="211"/>
      <c r="C11" s="212"/>
      <c r="D11" s="199"/>
      <c r="E11" s="211"/>
      <c r="F11" s="212"/>
      <c r="G11" s="199"/>
      <c r="H11" s="211"/>
      <c r="I11" s="212"/>
      <c r="J11" s="199"/>
      <c r="K11" s="211"/>
      <c r="L11" s="212"/>
      <c r="M11" s="199"/>
      <c r="N11" s="211"/>
      <c r="O11" s="212"/>
      <c r="P11" s="199"/>
      <c r="Q11" s="211"/>
      <c r="R11" s="212"/>
      <c r="S11" s="1311"/>
      <c r="T11" s="199"/>
    </row>
    <row r="12" spans="1:36" s="217" customFormat="1" ht="12" customHeight="1">
      <c r="A12" s="213" t="s">
        <v>223</v>
      </c>
      <c r="B12" s="214"/>
      <c r="C12" s="215" t="s">
        <v>224</v>
      </c>
      <c r="D12" s="213" t="s">
        <v>223</v>
      </c>
      <c r="E12" s="214"/>
      <c r="F12" s="215" t="s">
        <v>224</v>
      </c>
      <c r="G12" s="213" t="s">
        <v>223</v>
      </c>
      <c r="H12" s="214"/>
      <c r="I12" s="215" t="s">
        <v>224</v>
      </c>
      <c r="J12" s="213" t="s">
        <v>223</v>
      </c>
      <c r="K12" s="214"/>
      <c r="L12" s="215" t="s">
        <v>224</v>
      </c>
      <c r="M12" s="213" t="s">
        <v>223</v>
      </c>
      <c r="N12" s="214"/>
      <c r="O12" s="215" t="s">
        <v>224</v>
      </c>
      <c r="P12" s="213" t="s">
        <v>223</v>
      </c>
      <c r="Q12" s="214"/>
      <c r="R12" s="215" t="s">
        <v>224</v>
      </c>
      <c r="S12" s="1311"/>
      <c r="T12" s="216"/>
    </row>
    <row r="13" spans="1:36" ht="18">
      <c r="A13" s="218" t="s">
        <v>225</v>
      </c>
      <c r="B13" s="219">
        <v>34</v>
      </c>
      <c r="C13" s="220">
        <v>45</v>
      </c>
      <c r="D13" s="218" t="s">
        <v>225</v>
      </c>
      <c r="E13" s="219">
        <v>35.096774193548384</v>
      </c>
      <c r="F13" s="220">
        <v>42.565217391304351</v>
      </c>
      <c r="G13" s="218" t="s">
        <v>225</v>
      </c>
      <c r="H13" s="219">
        <v>38.478260869565219</v>
      </c>
      <c r="I13" s="220">
        <v>43.473684210526315</v>
      </c>
      <c r="J13" s="218" t="s">
        <v>225</v>
      </c>
      <c r="K13" s="219">
        <v>33</v>
      </c>
      <c r="L13" s="220">
        <v>41</v>
      </c>
      <c r="M13" s="218" t="s">
        <v>225</v>
      </c>
      <c r="N13" s="219">
        <v>33</v>
      </c>
      <c r="O13" s="220">
        <v>38</v>
      </c>
      <c r="P13" s="218" t="s">
        <v>225</v>
      </c>
      <c r="Q13" s="219">
        <v>34</v>
      </c>
      <c r="R13" s="220">
        <v>38</v>
      </c>
      <c r="S13" s="221" t="s">
        <v>226</v>
      </c>
      <c r="T13" s="199"/>
    </row>
    <row r="14" spans="1:36" ht="18">
      <c r="A14" s="218" t="s">
        <v>36</v>
      </c>
      <c r="B14" s="219">
        <v>25</v>
      </c>
      <c r="C14" s="220">
        <v>46</v>
      </c>
      <c r="D14" s="218" t="s">
        <v>36</v>
      </c>
      <c r="E14" s="219">
        <v>25.866666666666667</v>
      </c>
      <c r="F14" s="220">
        <v>46</v>
      </c>
      <c r="G14" s="218" t="s">
        <v>36</v>
      </c>
      <c r="H14" s="219">
        <v>26.5</v>
      </c>
      <c r="I14" s="220">
        <v>49.92902711323763</v>
      </c>
      <c r="J14" s="218" t="s">
        <v>36</v>
      </c>
      <c r="K14" s="219">
        <v>31</v>
      </c>
      <c r="L14" s="220">
        <v>47</v>
      </c>
      <c r="M14" s="218" t="s">
        <v>36</v>
      </c>
      <c r="N14" s="219">
        <v>30</v>
      </c>
      <c r="O14" s="220">
        <v>47</v>
      </c>
      <c r="P14" s="218" t="s">
        <v>36</v>
      </c>
      <c r="Q14" s="219">
        <v>32</v>
      </c>
      <c r="R14" s="220">
        <v>43</v>
      </c>
      <c r="S14" s="199"/>
      <c r="T14" s="199"/>
    </row>
    <row r="15" spans="1:36" ht="18" customHeight="1">
      <c r="A15" s="218" t="s">
        <v>227</v>
      </c>
      <c r="B15" s="219">
        <v>29</v>
      </c>
      <c r="C15" s="220">
        <v>45</v>
      </c>
      <c r="D15" s="218" t="s">
        <v>227</v>
      </c>
      <c r="E15" s="219">
        <v>30</v>
      </c>
      <c r="F15" s="220">
        <v>44</v>
      </c>
      <c r="G15" s="218" t="s">
        <v>227</v>
      </c>
      <c r="H15" s="219">
        <v>32.62222222222222</v>
      </c>
      <c r="I15" s="220">
        <v>46.629629629629626</v>
      </c>
      <c r="J15" s="218" t="s">
        <v>227</v>
      </c>
      <c r="K15" s="219">
        <v>32</v>
      </c>
      <c r="L15" s="220">
        <v>45</v>
      </c>
      <c r="M15" s="218" t="s">
        <v>227</v>
      </c>
      <c r="N15" s="219">
        <v>31</v>
      </c>
      <c r="O15" s="220">
        <v>45</v>
      </c>
      <c r="P15" s="218" t="s">
        <v>227</v>
      </c>
      <c r="Q15" s="219">
        <v>33</v>
      </c>
      <c r="R15" s="220">
        <v>42</v>
      </c>
      <c r="S15" s="1312" t="s">
        <v>228</v>
      </c>
      <c r="T15" s="222">
        <v>1</v>
      </c>
    </row>
    <row r="16" spans="1:36" s="227" customFormat="1" ht="18">
      <c r="A16" s="223" t="s">
        <v>229</v>
      </c>
      <c r="B16" s="224"/>
      <c r="C16" s="225"/>
      <c r="D16" s="223" t="s">
        <v>230</v>
      </c>
      <c r="E16" s="224"/>
      <c r="F16" s="225"/>
      <c r="G16" s="223" t="s">
        <v>231</v>
      </c>
      <c r="H16" s="224"/>
      <c r="I16" s="225"/>
      <c r="J16" s="223" t="s">
        <v>232</v>
      </c>
      <c r="K16" s="224"/>
      <c r="L16" s="225"/>
      <c r="M16" s="223" t="s">
        <v>233</v>
      </c>
      <c r="N16" s="224"/>
      <c r="O16" s="225"/>
      <c r="P16" s="223" t="s">
        <v>234</v>
      </c>
      <c r="Q16" s="224"/>
      <c r="R16" s="225"/>
      <c r="S16" s="1312"/>
      <c r="T16" s="226">
        <v>2</v>
      </c>
    </row>
    <row r="17" spans="1:20" ht="15.75">
      <c r="A17" s="228"/>
      <c r="B17" s="229"/>
      <c r="C17" s="230"/>
      <c r="D17" s="228"/>
      <c r="E17" s="229"/>
      <c r="F17" s="230"/>
      <c r="G17" s="228"/>
      <c r="H17" s="229"/>
      <c r="I17" s="230"/>
      <c r="J17" s="228"/>
      <c r="K17" s="229"/>
      <c r="L17" s="230"/>
      <c r="M17" s="228"/>
      <c r="N17" s="229"/>
      <c r="O17" s="230"/>
      <c r="P17" s="228"/>
      <c r="Q17" s="229"/>
      <c r="R17" s="230"/>
      <c r="S17" s="1312"/>
      <c r="T17" s="231">
        <v>3</v>
      </c>
    </row>
    <row r="18" spans="1:20" s="236" customFormat="1" ht="20.25">
      <c r="A18" s="232" t="s">
        <v>235</v>
      </c>
      <c r="B18" s="233"/>
      <c r="C18" s="234"/>
      <c r="D18" s="232" t="s">
        <v>236</v>
      </c>
      <c r="E18" s="233"/>
      <c r="F18" s="234"/>
      <c r="G18" s="232" t="s">
        <v>237</v>
      </c>
      <c r="H18" s="233"/>
      <c r="I18" s="234"/>
      <c r="J18" s="232" t="s">
        <v>236</v>
      </c>
      <c r="K18" s="233"/>
      <c r="L18" s="234"/>
      <c r="M18" s="232" t="s">
        <v>238</v>
      </c>
      <c r="N18" s="233"/>
      <c r="O18" s="234"/>
      <c r="P18" s="232" t="s">
        <v>239</v>
      </c>
      <c r="Q18" s="233"/>
      <c r="R18" s="234"/>
      <c r="S18" s="1312"/>
      <c r="T18" s="235">
        <v>4</v>
      </c>
    </row>
    <row r="19" spans="1:20" ht="13.5" customHeight="1">
      <c r="A19" s="228"/>
      <c r="B19" s="229"/>
      <c r="C19" s="230"/>
      <c r="D19" s="228"/>
      <c r="E19" s="229"/>
      <c r="F19" s="230"/>
      <c r="G19" s="228"/>
      <c r="H19" s="229"/>
      <c r="I19" s="230"/>
      <c r="J19" s="228"/>
      <c r="K19" s="229"/>
      <c r="L19" s="230"/>
      <c r="M19" s="228"/>
      <c r="N19" s="229"/>
      <c r="O19" s="230"/>
      <c r="P19" s="228"/>
      <c r="Q19" s="229"/>
      <c r="R19" s="230"/>
      <c r="S19" s="1312"/>
      <c r="T19" s="237">
        <v>5</v>
      </c>
    </row>
    <row r="20" spans="1:20" s="242" customFormat="1" ht="34.5" hidden="1" customHeight="1">
      <c r="A20" s="238" t="s">
        <v>240</v>
      </c>
      <c r="B20" s="239"/>
      <c r="C20" s="240"/>
      <c r="D20" s="238" t="s">
        <v>240</v>
      </c>
      <c r="E20" s="239"/>
      <c r="F20" s="240"/>
      <c r="G20" s="238" t="s">
        <v>240</v>
      </c>
      <c r="H20" s="239"/>
      <c r="I20" s="240"/>
      <c r="J20" s="238" t="s">
        <v>240</v>
      </c>
      <c r="K20" s="239"/>
      <c r="L20" s="240"/>
      <c r="M20" s="238" t="s">
        <v>241</v>
      </c>
      <c r="N20" s="239"/>
      <c r="O20" s="240"/>
      <c r="P20" s="238" t="s">
        <v>240</v>
      </c>
      <c r="Q20" s="239"/>
      <c r="R20" s="240"/>
      <c r="S20" s="1312"/>
      <c r="T20" s="241">
        <v>6</v>
      </c>
    </row>
    <row r="21" spans="1:20" ht="15">
      <c r="A21" s="243" t="s">
        <v>352</v>
      </c>
      <c r="B21" s="229"/>
      <c r="C21" s="230"/>
      <c r="D21" s="243" t="s">
        <v>242</v>
      </c>
      <c r="E21" s="229"/>
      <c r="F21" s="230"/>
      <c r="G21" s="243" t="s">
        <v>243</v>
      </c>
      <c r="H21" s="229"/>
      <c r="I21" s="230"/>
      <c r="J21" s="243" t="s">
        <v>244</v>
      </c>
      <c r="K21" s="229"/>
      <c r="L21" s="230"/>
      <c r="M21" s="243" t="s">
        <v>245</v>
      </c>
      <c r="N21" s="229"/>
      <c r="O21" s="230"/>
      <c r="P21" s="243" t="s">
        <v>246</v>
      </c>
      <c r="Q21" s="229"/>
      <c r="R21" s="230"/>
      <c r="S21" s="1312"/>
      <c r="T21" s="244">
        <v>7</v>
      </c>
    </row>
    <row r="22" spans="1:20" ht="15">
      <c r="A22" s="243" t="s">
        <v>247</v>
      </c>
      <c r="B22" s="229"/>
      <c r="C22" s="230"/>
      <c r="D22" s="243" t="s">
        <v>248</v>
      </c>
      <c r="E22" s="229"/>
      <c r="F22" s="230"/>
      <c r="G22" s="243" t="s">
        <v>249</v>
      </c>
      <c r="H22" s="229"/>
      <c r="I22" s="230"/>
      <c r="J22" s="243" t="s">
        <v>247</v>
      </c>
      <c r="K22" s="229"/>
      <c r="L22" s="230"/>
      <c r="M22" s="243" t="s">
        <v>250</v>
      </c>
      <c r="N22" s="229"/>
      <c r="O22" s="230"/>
      <c r="P22" s="243" t="s">
        <v>247</v>
      </c>
      <c r="Q22" s="229"/>
      <c r="R22" s="230"/>
      <c r="S22" s="1312"/>
      <c r="T22" s="237">
        <v>8</v>
      </c>
    </row>
    <row r="23" spans="1:20" ht="18" customHeight="1">
      <c r="A23" s="243" t="s">
        <v>251</v>
      </c>
      <c r="B23" s="229"/>
      <c r="C23" s="230"/>
      <c r="D23" s="243" t="s">
        <v>252</v>
      </c>
      <c r="E23" s="229"/>
      <c r="F23" s="230"/>
      <c r="G23" s="243" t="s">
        <v>253</v>
      </c>
      <c r="H23" s="229"/>
      <c r="I23" s="230"/>
      <c r="J23" s="243" t="s">
        <v>254</v>
      </c>
      <c r="K23" s="229"/>
      <c r="L23" s="230"/>
      <c r="M23" s="243" t="s">
        <v>255</v>
      </c>
      <c r="N23" s="229"/>
      <c r="O23" s="230"/>
      <c r="P23" s="243" t="s">
        <v>256</v>
      </c>
      <c r="Q23" s="229"/>
      <c r="R23" s="230"/>
      <c r="S23" s="1312"/>
      <c r="T23" s="244">
        <v>9</v>
      </c>
    </row>
    <row r="24" spans="1:20" ht="15">
      <c r="A24" s="243" t="s">
        <v>257</v>
      </c>
      <c r="B24" s="245"/>
      <c r="C24" s="246"/>
      <c r="D24" s="243" t="s">
        <v>258</v>
      </c>
      <c r="E24" s="245"/>
      <c r="F24" s="246"/>
      <c r="G24" s="243" t="s">
        <v>259</v>
      </c>
      <c r="H24" s="245"/>
      <c r="I24" s="246"/>
      <c r="J24" s="243" t="s">
        <v>260</v>
      </c>
      <c r="K24" s="245"/>
      <c r="L24" s="246"/>
      <c r="M24" s="243"/>
      <c r="N24" s="245"/>
      <c r="O24" s="246"/>
      <c r="P24" s="243" t="s">
        <v>261</v>
      </c>
      <c r="Q24" s="245"/>
      <c r="R24" s="246"/>
      <c r="S24" s="1312"/>
      <c r="T24" s="237">
        <v>10</v>
      </c>
    </row>
    <row r="25" spans="1:20">
      <c r="A25" s="228"/>
      <c r="B25" s="229"/>
      <c r="C25" s="230"/>
      <c r="D25" s="228"/>
      <c r="E25" s="229"/>
      <c r="F25" s="230"/>
      <c r="G25" s="228"/>
      <c r="H25" s="229"/>
      <c r="I25" s="230"/>
      <c r="J25" s="228"/>
      <c r="K25" s="229"/>
      <c r="L25" s="230"/>
      <c r="M25" s="228"/>
      <c r="N25" s="229"/>
      <c r="O25" s="230"/>
      <c r="P25" s="228"/>
      <c r="Q25" s="229"/>
      <c r="R25" s="230"/>
      <c r="S25" s="199"/>
      <c r="T25" s="199"/>
    </row>
    <row r="26" spans="1:20" ht="14.25">
      <c r="A26" s="243"/>
      <c r="B26" s="229"/>
      <c r="C26" s="230"/>
      <c r="D26" s="243" t="s">
        <v>262</v>
      </c>
      <c r="E26" s="229"/>
      <c r="F26" s="230"/>
      <c r="G26" s="243"/>
      <c r="H26" s="229"/>
      <c r="I26" s="230"/>
      <c r="J26" s="243"/>
      <c r="K26" s="229"/>
      <c r="L26" s="230"/>
      <c r="M26" s="243" t="s">
        <v>263</v>
      </c>
      <c r="N26" s="229"/>
      <c r="O26" s="230"/>
      <c r="P26" s="243" t="s">
        <v>264</v>
      </c>
      <c r="Q26" s="229"/>
      <c r="R26" s="230"/>
      <c r="S26" s="199"/>
      <c r="T26" s="199"/>
    </row>
    <row r="27" spans="1:20" ht="6" customHeight="1">
      <c r="A27" s="228"/>
      <c r="B27" s="229"/>
      <c r="C27" s="230"/>
      <c r="D27" s="228"/>
      <c r="E27" s="229"/>
      <c r="F27" s="230"/>
      <c r="G27" s="228"/>
      <c r="H27" s="229"/>
      <c r="I27" s="230"/>
      <c r="J27" s="228"/>
      <c r="K27" s="229"/>
      <c r="L27" s="230"/>
      <c r="M27" s="228"/>
      <c r="N27" s="229"/>
      <c r="O27" s="230"/>
      <c r="P27" s="228"/>
      <c r="Q27" s="229"/>
      <c r="R27" s="230"/>
      <c r="S27" s="1311" t="s">
        <v>265</v>
      </c>
      <c r="T27" s="199"/>
    </row>
    <row r="28" spans="1:20" hidden="1">
      <c r="A28" s="228"/>
      <c r="B28" s="245"/>
      <c r="C28" s="246"/>
      <c r="D28" s="228"/>
      <c r="E28" s="245"/>
      <c r="F28" s="246"/>
      <c r="G28" s="228"/>
      <c r="H28" s="245"/>
      <c r="I28" s="246"/>
      <c r="J28" s="228"/>
      <c r="K28" s="245"/>
      <c r="L28" s="246"/>
      <c r="M28" s="228"/>
      <c r="N28" s="245"/>
      <c r="O28" s="246"/>
      <c r="P28" s="228"/>
      <c r="Q28" s="245"/>
      <c r="R28" s="246"/>
      <c r="S28" s="1311"/>
      <c r="T28" s="199"/>
    </row>
    <row r="29" spans="1:20" ht="18">
      <c r="A29" s="247" t="s">
        <v>266</v>
      </c>
      <c r="B29" s="245"/>
      <c r="C29" s="246"/>
      <c r="D29" s="247" t="s">
        <v>267</v>
      </c>
      <c r="E29" s="245"/>
      <c r="F29" s="246"/>
      <c r="G29" s="247" t="s">
        <v>268</v>
      </c>
      <c r="H29" s="245"/>
      <c r="I29" s="246"/>
      <c r="J29" s="247" t="s">
        <v>269</v>
      </c>
      <c r="K29" s="245"/>
      <c r="L29" s="246"/>
      <c r="M29" s="247" t="s">
        <v>270</v>
      </c>
      <c r="N29" s="245"/>
      <c r="O29" s="246"/>
      <c r="P29" s="247" t="s">
        <v>271</v>
      </c>
      <c r="Q29" s="245"/>
      <c r="R29" s="246"/>
      <c r="S29" s="1311"/>
      <c r="T29" s="199"/>
    </row>
    <row r="30" spans="1:20" ht="18">
      <c r="A30" s="247" t="s">
        <v>272</v>
      </c>
      <c r="B30" s="214"/>
      <c r="C30" s="248"/>
      <c r="D30" s="247" t="s">
        <v>273</v>
      </c>
      <c r="E30" s="214"/>
      <c r="F30" s="248"/>
      <c r="G30" s="247" t="s">
        <v>274</v>
      </c>
      <c r="H30" s="214"/>
      <c r="I30" s="248"/>
      <c r="J30" s="247" t="s">
        <v>275</v>
      </c>
      <c r="K30" s="214"/>
      <c r="L30" s="248"/>
      <c r="M30" s="247" t="s">
        <v>276</v>
      </c>
      <c r="N30" s="214"/>
      <c r="O30" s="248"/>
      <c r="P30" s="247" t="s">
        <v>277</v>
      </c>
      <c r="Q30" s="214"/>
      <c r="R30" s="248"/>
      <c r="S30" s="1311"/>
      <c r="T30" s="199"/>
    </row>
    <row r="31" spans="1:20">
      <c r="A31" s="228"/>
      <c r="B31" s="229"/>
      <c r="C31" s="230"/>
      <c r="D31" s="228"/>
      <c r="E31" s="229"/>
      <c r="F31" s="230"/>
      <c r="G31" s="228"/>
      <c r="H31" s="229"/>
      <c r="I31" s="230"/>
      <c r="J31" s="228"/>
      <c r="K31" s="229"/>
      <c r="L31" s="230"/>
      <c r="M31" s="228"/>
      <c r="N31" s="229"/>
      <c r="O31" s="230"/>
      <c r="P31" s="228"/>
      <c r="Q31" s="229"/>
      <c r="R31" s="230"/>
      <c r="S31" s="1311"/>
      <c r="T31" s="199"/>
    </row>
    <row r="32" spans="1:20">
      <c r="A32" s="228"/>
      <c r="B32" s="229"/>
      <c r="C32" s="230"/>
      <c r="D32" s="228"/>
      <c r="E32" s="229"/>
      <c r="F32" s="230"/>
      <c r="G32" s="228"/>
      <c r="H32" s="229"/>
      <c r="I32" s="230"/>
      <c r="J32" s="228"/>
      <c r="K32" s="229"/>
      <c r="L32" s="230"/>
      <c r="M32" s="228"/>
      <c r="N32" s="229"/>
      <c r="O32" s="230"/>
      <c r="P32" s="228"/>
      <c r="Q32" s="229"/>
      <c r="R32" s="230"/>
      <c r="S32" s="1311"/>
      <c r="T32" s="199"/>
    </row>
    <row r="33" spans="1:34" s="236" customFormat="1" ht="15.75" customHeight="1">
      <c r="A33" s="249" t="s">
        <v>278</v>
      </c>
      <c r="B33" s="250"/>
      <c r="C33" s="251"/>
      <c r="D33" s="249" t="s">
        <v>279</v>
      </c>
      <c r="E33" s="250"/>
      <c r="F33" s="251"/>
      <c r="G33" s="249" t="s">
        <v>278</v>
      </c>
      <c r="H33" s="250"/>
      <c r="I33" s="251"/>
      <c r="J33" s="249" t="s">
        <v>280</v>
      </c>
      <c r="K33" s="250"/>
      <c r="L33" s="251"/>
      <c r="M33" s="249" t="s">
        <v>280</v>
      </c>
      <c r="N33" s="250"/>
      <c r="O33" s="251"/>
      <c r="P33" s="249" t="s">
        <v>278</v>
      </c>
      <c r="Q33" s="250"/>
      <c r="R33" s="251"/>
      <c r="S33" s="1311"/>
      <c r="T33" s="252"/>
    </row>
    <row r="34" spans="1:34" ht="18" customHeight="1">
      <c r="A34" s="253" t="s">
        <v>281</v>
      </c>
      <c r="B34" s="254"/>
      <c r="C34" s="255"/>
      <c r="D34" s="253" t="s">
        <v>282</v>
      </c>
      <c r="E34" s="254"/>
      <c r="F34" s="255"/>
      <c r="G34" s="253"/>
      <c r="H34" s="254"/>
      <c r="I34" s="255"/>
      <c r="J34" s="253"/>
      <c r="K34" s="254"/>
      <c r="L34" s="255"/>
      <c r="M34" s="253"/>
      <c r="N34" s="254"/>
      <c r="O34" s="255"/>
      <c r="P34" s="253" t="s">
        <v>283</v>
      </c>
      <c r="Q34" s="254"/>
      <c r="R34" s="255"/>
      <c r="S34" s="1311"/>
      <c r="T34" s="199"/>
    </row>
    <row r="35" spans="1:34" ht="15">
      <c r="A35" s="253" t="s">
        <v>284</v>
      </c>
      <c r="B35" s="254"/>
      <c r="C35" s="255"/>
      <c r="D35" s="253" t="s">
        <v>285</v>
      </c>
      <c r="E35" s="254"/>
      <c r="F35" s="255"/>
      <c r="G35" s="253" t="s">
        <v>286</v>
      </c>
      <c r="H35" s="254"/>
      <c r="I35" s="255"/>
      <c r="J35" s="253" t="s">
        <v>287</v>
      </c>
      <c r="K35" s="254"/>
      <c r="L35" s="255"/>
      <c r="M35" s="253" t="s">
        <v>288</v>
      </c>
      <c r="N35" s="254"/>
      <c r="O35" s="255"/>
      <c r="P35" s="253" t="s">
        <v>289</v>
      </c>
      <c r="Q35" s="254"/>
      <c r="R35" s="255"/>
      <c r="S35" s="1311"/>
      <c r="T35" s="199"/>
    </row>
    <row r="36" spans="1:34" ht="15.75" customHeight="1">
      <c r="A36" s="256"/>
      <c r="B36" s="254"/>
      <c r="C36" s="255"/>
      <c r="D36" s="256" t="s">
        <v>290</v>
      </c>
      <c r="E36" s="254"/>
      <c r="F36" s="255"/>
      <c r="G36" s="256" t="s">
        <v>291</v>
      </c>
      <c r="H36" s="254"/>
      <c r="I36" s="255"/>
      <c r="J36" s="256"/>
      <c r="K36" s="254"/>
      <c r="L36" s="255"/>
      <c r="M36" s="256"/>
      <c r="N36" s="254"/>
      <c r="O36" s="255"/>
      <c r="P36" s="256"/>
      <c r="Q36" s="254"/>
      <c r="R36" s="255"/>
      <c r="S36" s="1311"/>
      <c r="T36" s="199"/>
    </row>
    <row r="37" spans="1:34" hidden="1">
      <c r="A37" s="228"/>
      <c r="B37" s="229"/>
      <c r="C37" s="230"/>
      <c r="D37" s="228"/>
      <c r="E37" s="229"/>
      <c r="F37" s="230"/>
      <c r="G37" s="228"/>
      <c r="H37" s="229"/>
      <c r="I37" s="230"/>
      <c r="J37" s="228"/>
      <c r="K37" s="229"/>
      <c r="L37" s="230"/>
      <c r="M37" s="228"/>
      <c r="N37" s="229"/>
      <c r="O37" s="230"/>
      <c r="P37" s="228"/>
      <c r="Q37" s="229"/>
      <c r="R37" s="230"/>
      <c r="S37" s="199"/>
      <c r="T37" s="199"/>
    </row>
    <row r="38" spans="1:34" hidden="1">
      <c r="A38" s="228"/>
      <c r="B38" s="229"/>
      <c r="C38" s="230"/>
      <c r="D38" s="228"/>
      <c r="E38" s="229"/>
      <c r="F38" s="230"/>
      <c r="G38" s="228"/>
      <c r="H38" s="229"/>
      <c r="I38" s="230"/>
      <c r="J38" s="228"/>
      <c r="K38" s="229"/>
      <c r="L38" s="230"/>
      <c r="M38" s="228"/>
      <c r="N38" s="229"/>
      <c r="O38" s="230"/>
      <c r="P38" s="228"/>
      <c r="Q38" s="229"/>
      <c r="R38" s="230"/>
      <c r="S38" s="199"/>
      <c r="T38" s="199"/>
    </row>
    <row r="39" spans="1:34" ht="18" customHeight="1">
      <c r="A39" s="257" t="s">
        <v>292</v>
      </c>
      <c r="B39" s="258" t="s">
        <v>293</v>
      </c>
      <c r="C39" s="259" t="s">
        <v>294</v>
      </c>
      <c r="D39" s="257" t="s">
        <v>292</v>
      </c>
      <c r="E39" s="258" t="s">
        <v>293</v>
      </c>
      <c r="F39" s="259" t="s">
        <v>294</v>
      </c>
      <c r="G39" s="257" t="s">
        <v>292</v>
      </c>
      <c r="H39" s="258" t="s">
        <v>293</v>
      </c>
      <c r="I39" s="259" t="s">
        <v>294</v>
      </c>
      <c r="J39" s="257" t="s">
        <v>292</v>
      </c>
      <c r="K39" s="258" t="s">
        <v>293</v>
      </c>
      <c r="L39" s="259" t="s">
        <v>294</v>
      </c>
      <c r="M39" s="257" t="s">
        <v>292</v>
      </c>
      <c r="N39" s="258" t="s">
        <v>293</v>
      </c>
      <c r="O39" s="259" t="s">
        <v>294</v>
      </c>
      <c r="P39" s="257" t="s">
        <v>292</v>
      </c>
      <c r="Q39" s="258" t="s">
        <v>293</v>
      </c>
      <c r="R39" s="259" t="s">
        <v>294</v>
      </c>
      <c r="S39" s="1311" t="s">
        <v>295</v>
      </c>
      <c r="T39" s="199"/>
    </row>
    <row r="40" spans="1:34" ht="18">
      <c r="A40" s="218" t="s">
        <v>296</v>
      </c>
      <c r="B40" s="220">
        <v>867</v>
      </c>
      <c r="C40" s="260"/>
      <c r="D40" s="218" t="s">
        <v>296</v>
      </c>
      <c r="E40" s="220">
        <v>875</v>
      </c>
      <c r="F40" s="260">
        <v>908</v>
      </c>
      <c r="G40" s="218" t="s">
        <v>296</v>
      </c>
      <c r="H40" s="220">
        <v>923.34922105263138</v>
      </c>
      <c r="I40" s="260">
        <v>964.3105263157895</v>
      </c>
      <c r="J40" s="218" t="s">
        <v>296</v>
      </c>
      <c r="K40" s="220">
        <v>887</v>
      </c>
      <c r="L40" s="260">
        <v>926</v>
      </c>
      <c r="M40" s="218" t="s">
        <v>296</v>
      </c>
      <c r="N40" s="220">
        <v>882</v>
      </c>
      <c r="O40" s="260">
        <v>911</v>
      </c>
      <c r="P40" s="218" t="s">
        <v>296</v>
      </c>
      <c r="Q40" s="220">
        <v>793</v>
      </c>
      <c r="R40" s="260">
        <v>810</v>
      </c>
      <c r="S40" s="1311"/>
      <c r="T40" s="199"/>
    </row>
    <row r="41" spans="1:34" ht="18">
      <c r="A41" s="218" t="s">
        <v>297</v>
      </c>
      <c r="B41" s="220">
        <v>828</v>
      </c>
      <c r="C41" s="260"/>
      <c r="D41" s="218" t="s">
        <v>297</v>
      </c>
      <c r="E41" s="220">
        <v>511</v>
      </c>
      <c r="F41" s="260">
        <v>557</v>
      </c>
      <c r="G41" s="218" t="s">
        <v>297</v>
      </c>
      <c r="H41" s="220">
        <v>445.29350000000068</v>
      </c>
      <c r="I41" s="260">
        <v>513</v>
      </c>
      <c r="J41" s="218" t="s">
        <v>297</v>
      </c>
      <c r="K41" s="220">
        <v>486</v>
      </c>
      <c r="L41" s="260">
        <v>496</v>
      </c>
      <c r="M41" s="218" t="s">
        <v>297</v>
      </c>
      <c r="N41" s="220">
        <v>893</v>
      </c>
      <c r="O41" s="260">
        <v>871</v>
      </c>
      <c r="P41" s="218" t="s">
        <v>297</v>
      </c>
      <c r="Q41" s="220">
        <v>933</v>
      </c>
      <c r="R41" s="260">
        <v>897</v>
      </c>
      <c r="S41" s="1311"/>
      <c r="T41" s="199"/>
    </row>
    <row r="42" spans="1:34" ht="18" customHeight="1">
      <c r="A42" s="218" t="s">
        <v>298</v>
      </c>
      <c r="B42" s="220">
        <v>866</v>
      </c>
      <c r="C42" s="260"/>
      <c r="D42" s="218" t="s">
        <v>298</v>
      </c>
      <c r="E42" s="220">
        <v>828</v>
      </c>
      <c r="F42" s="260">
        <v>863</v>
      </c>
      <c r="G42" s="218" t="s">
        <v>298</v>
      </c>
      <c r="H42" s="220">
        <v>840.20909565217391</v>
      </c>
      <c r="I42" s="260">
        <v>885.82173913043482</v>
      </c>
      <c r="J42" s="218" t="s">
        <v>298</v>
      </c>
      <c r="K42" s="220">
        <v>830</v>
      </c>
      <c r="L42" s="260">
        <v>865</v>
      </c>
      <c r="M42" s="218" t="s">
        <v>298</v>
      </c>
      <c r="N42" s="220">
        <v>883</v>
      </c>
      <c r="O42" s="260">
        <v>909</v>
      </c>
      <c r="P42" s="218" t="s">
        <v>298</v>
      </c>
      <c r="Q42" s="220">
        <v>799</v>
      </c>
      <c r="R42" s="260">
        <v>813</v>
      </c>
      <c r="S42" s="1311"/>
      <c r="T42" s="199"/>
    </row>
    <row r="43" spans="1:34">
      <c r="A43" s="228"/>
      <c r="B43" s="261"/>
      <c r="C43" s="230"/>
      <c r="D43" s="228"/>
      <c r="E43" s="261"/>
      <c r="F43" s="230"/>
      <c r="G43" s="228"/>
      <c r="H43" s="261"/>
      <c r="I43" s="230"/>
      <c r="J43" s="228"/>
      <c r="K43" s="261"/>
      <c r="L43" s="230"/>
      <c r="M43" s="228"/>
      <c r="N43" s="261"/>
      <c r="O43" s="230"/>
      <c r="P43" s="228"/>
      <c r="Q43" s="261"/>
      <c r="R43" s="230"/>
      <c r="S43" s="1311"/>
      <c r="T43" s="199"/>
    </row>
    <row r="44" spans="1:34" ht="18" customHeight="1">
      <c r="A44" s="1308" t="s">
        <v>299</v>
      </c>
      <c r="B44" s="1309"/>
      <c r="C44" s="1310"/>
      <c r="D44" s="1308" t="s">
        <v>300</v>
      </c>
      <c r="E44" s="1309"/>
      <c r="F44" s="1310"/>
      <c r="G44" s="1308" t="s">
        <v>301</v>
      </c>
      <c r="H44" s="1309"/>
      <c r="I44" s="1310"/>
      <c r="J44" s="1308" t="s">
        <v>300</v>
      </c>
      <c r="K44" s="1309"/>
      <c r="L44" s="1310"/>
      <c r="M44" s="1308" t="s">
        <v>302</v>
      </c>
      <c r="N44" s="1309"/>
      <c r="O44" s="1310"/>
      <c r="P44" s="1308" t="s">
        <v>303</v>
      </c>
      <c r="Q44" s="1309"/>
      <c r="R44" s="1310"/>
      <c r="S44" s="1311"/>
      <c r="T44" s="199"/>
    </row>
    <row r="45" spans="1:34">
      <c r="A45" s="228"/>
      <c r="B45" s="229"/>
      <c r="C45" s="230"/>
      <c r="D45" s="228"/>
      <c r="E45" s="229"/>
      <c r="F45" s="230"/>
      <c r="G45" s="228"/>
      <c r="H45" s="229"/>
      <c r="I45" s="230"/>
      <c r="J45" s="228"/>
      <c r="K45" s="229"/>
      <c r="L45" s="230"/>
      <c r="M45" s="228"/>
      <c r="N45" s="229"/>
      <c r="O45" s="230"/>
      <c r="P45" s="228"/>
      <c r="Q45" s="229"/>
      <c r="R45" s="230"/>
      <c r="S45" s="1311"/>
      <c r="T45" s="199"/>
    </row>
    <row r="46" spans="1:34">
      <c r="A46" s="228"/>
      <c r="B46" s="229"/>
      <c r="C46" s="230"/>
      <c r="D46" s="228"/>
      <c r="E46" s="229"/>
      <c r="F46" s="230"/>
      <c r="G46" s="228"/>
      <c r="H46" s="229"/>
      <c r="I46" s="230"/>
      <c r="J46" s="228"/>
      <c r="K46" s="229"/>
      <c r="L46" s="230"/>
      <c r="M46" s="228"/>
      <c r="N46" s="229"/>
      <c r="O46" s="230"/>
      <c r="P46" s="228"/>
      <c r="Q46" s="229"/>
      <c r="R46" s="230"/>
      <c r="S46" s="1311"/>
      <c r="T46" s="199"/>
    </row>
    <row r="47" spans="1:34" ht="3" customHeight="1">
      <c r="B47" s="192"/>
      <c r="E47" s="192"/>
      <c r="H47" s="192"/>
      <c r="K47" s="192"/>
      <c r="N47" s="192"/>
      <c r="P47" s="228"/>
      <c r="Q47" s="229"/>
      <c r="R47" s="230"/>
      <c r="S47" s="262"/>
      <c r="T47" s="199"/>
      <c r="U47" s="199"/>
      <c r="V47" s="211"/>
      <c r="W47" s="199"/>
      <c r="X47" s="199"/>
      <c r="Y47" s="211"/>
      <c r="Z47" s="199"/>
      <c r="AA47" s="199"/>
      <c r="AB47" s="211"/>
      <c r="AC47" s="199"/>
      <c r="AD47" s="199"/>
      <c r="AE47" s="211"/>
      <c r="AF47" s="199"/>
      <c r="AG47" s="263"/>
      <c r="AH47" s="211"/>
    </row>
    <row r="48" spans="1:34" ht="20.25">
      <c r="A48" s="173" t="s">
        <v>92</v>
      </c>
      <c r="B48" s="179">
        <v>181.98299999999995</v>
      </c>
      <c r="C48" s="180" t="s">
        <v>312</v>
      </c>
      <c r="D48" s="264" t="s">
        <v>93</v>
      </c>
      <c r="E48" s="265">
        <v>356.95299999999997</v>
      </c>
      <c r="F48" s="266" t="s">
        <v>304</v>
      </c>
      <c r="G48" s="264" t="s">
        <v>166</v>
      </c>
      <c r="H48" s="265">
        <v>341.86599999999999</v>
      </c>
      <c r="I48" s="266" t="s">
        <v>305</v>
      </c>
      <c r="J48" s="264" t="s">
        <v>163</v>
      </c>
      <c r="K48" s="265">
        <v>210</v>
      </c>
      <c r="L48" s="266" t="s">
        <v>306</v>
      </c>
      <c r="M48" s="264" t="s">
        <v>307</v>
      </c>
      <c r="N48" s="265">
        <v>169</v>
      </c>
      <c r="O48" s="266" t="s">
        <v>308</v>
      </c>
      <c r="P48" s="264" t="s">
        <v>309</v>
      </c>
      <c r="Q48" s="265">
        <v>291</v>
      </c>
      <c r="R48" s="266" t="s">
        <v>305</v>
      </c>
      <c r="S48" s="267"/>
    </row>
    <row r="49" spans="1:19" ht="20.25">
      <c r="A49" s="173" t="s">
        <v>164</v>
      </c>
      <c r="B49" s="179">
        <v>121.99</v>
      </c>
      <c r="C49" s="180" t="s">
        <v>180</v>
      </c>
      <c r="D49" s="264" t="s">
        <v>163</v>
      </c>
      <c r="E49" s="265">
        <v>204.98500000000001</v>
      </c>
      <c r="F49" s="266" t="s">
        <v>310</v>
      </c>
      <c r="G49" s="264" t="s">
        <v>163</v>
      </c>
      <c r="H49" s="265">
        <v>128.98500000000001</v>
      </c>
      <c r="I49" s="266" t="s">
        <v>182</v>
      </c>
      <c r="J49" s="264" t="s">
        <v>311</v>
      </c>
      <c r="K49" s="265">
        <v>172</v>
      </c>
      <c r="L49" s="266" t="s">
        <v>312</v>
      </c>
      <c r="M49" s="264" t="s">
        <v>309</v>
      </c>
      <c r="N49" s="265">
        <v>136</v>
      </c>
      <c r="O49" s="266" t="s">
        <v>182</v>
      </c>
      <c r="P49" s="264" t="s">
        <v>313</v>
      </c>
      <c r="Q49" s="265">
        <v>192</v>
      </c>
      <c r="R49" s="266" t="s">
        <v>308</v>
      </c>
      <c r="S49" s="267"/>
    </row>
    <row r="50" spans="1:19" ht="21.75">
      <c r="A50" s="173" t="s">
        <v>169</v>
      </c>
      <c r="B50" s="179">
        <v>106.94600000000003</v>
      </c>
      <c r="C50" s="180" t="s">
        <v>181</v>
      </c>
      <c r="D50" s="264" t="s">
        <v>314</v>
      </c>
      <c r="E50" s="265">
        <v>117.94</v>
      </c>
      <c r="F50" s="266" t="s">
        <v>315</v>
      </c>
      <c r="G50" s="264" t="s">
        <v>314</v>
      </c>
      <c r="H50" s="265">
        <v>125.94</v>
      </c>
      <c r="I50" s="266" t="s">
        <v>316</v>
      </c>
      <c r="J50" s="264" t="s">
        <v>309</v>
      </c>
      <c r="K50" s="265">
        <v>108</v>
      </c>
      <c r="L50" s="266" t="s">
        <v>353</v>
      </c>
      <c r="M50" s="264" t="s">
        <v>163</v>
      </c>
      <c r="N50" s="265">
        <v>96</v>
      </c>
      <c r="O50" s="266" t="s">
        <v>181</v>
      </c>
      <c r="P50" s="264" t="s">
        <v>317</v>
      </c>
      <c r="Q50" s="265">
        <v>60</v>
      </c>
      <c r="R50" s="266" t="s">
        <v>181</v>
      </c>
      <c r="S50" s="267"/>
    </row>
    <row r="51" spans="1:19" ht="20.25">
      <c r="A51" s="175" t="s">
        <v>98</v>
      </c>
      <c r="B51" s="181">
        <v>94.97</v>
      </c>
      <c r="C51" s="180" t="s">
        <v>181</v>
      </c>
      <c r="D51" s="268" t="s">
        <v>318</v>
      </c>
      <c r="E51" s="269">
        <v>104.91</v>
      </c>
      <c r="F51" s="266" t="s">
        <v>181</v>
      </c>
      <c r="G51" s="268" t="s">
        <v>165</v>
      </c>
      <c r="H51" s="269">
        <v>114.98400000000004</v>
      </c>
      <c r="I51" s="266" t="s">
        <v>306</v>
      </c>
      <c r="J51" s="268" t="s">
        <v>307</v>
      </c>
      <c r="K51" s="269">
        <v>98</v>
      </c>
      <c r="L51" s="266" t="s">
        <v>180</v>
      </c>
      <c r="M51" s="268" t="s">
        <v>162</v>
      </c>
      <c r="N51" s="269">
        <v>95</v>
      </c>
      <c r="O51" s="266" t="s">
        <v>180</v>
      </c>
      <c r="P51" s="268" t="s">
        <v>159</v>
      </c>
      <c r="Q51" s="269">
        <v>60</v>
      </c>
      <c r="R51" s="266" t="s">
        <v>181</v>
      </c>
      <c r="S51" s="267"/>
    </row>
    <row r="52" spans="1:19" ht="20.25">
      <c r="A52" s="175" t="s">
        <v>170</v>
      </c>
      <c r="B52" s="181">
        <v>94.966999999999985</v>
      </c>
      <c r="C52" s="180" t="s">
        <v>181</v>
      </c>
      <c r="D52" s="268" t="s">
        <v>164</v>
      </c>
      <c r="E52" s="269">
        <v>97.99</v>
      </c>
      <c r="F52" s="266" t="s">
        <v>319</v>
      </c>
      <c r="G52" s="268" t="s">
        <v>91</v>
      </c>
      <c r="H52" s="269">
        <v>111.98689999999999</v>
      </c>
      <c r="I52" s="266" t="s">
        <v>320</v>
      </c>
      <c r="J52" s="268" t="s">
        <v>165</v>
      </c>
      <c r="K52" s="269">
        <v>85</v>
      </c>
      <c r="L52" s="266"/>
      <c r="M52" s="268" t="s">
        <v>321</v>
      </c>
      <c r="N52" s="269">
        <v>63</v>
      </c>
      <c r="O52" s="266" t="s">
        <v>181</v>
      </c>
      <c r="P52" s="268" t="s">
        <v>137</v>
      </c>
      <c r="Q52" s="269">
        <v>55</v>
      </c>
      <c r="R52" s="266"/>
      <c r="S52" s="267"/>
    </row>
    <row r="53" spans="1:19" ht="20.25">
      <c r="A53" s="175" t="s">
        <v>93</v>
      </c>
      <c r="B53" s="181">
        <v>86.952999999999975</v>
      </c>
      <c r="C53" s="180" t="s">
        <v>142</v>
      </c>
      <c r="D53" s="268" t="s">
        <v>322</v>
      </c>
      <c r="E53" s="269">
        <v>76.961000000000013</v>
      </c>
      <c r="F53" s="266" t="s">
        <v>323</v>
      </c>
      <c r="G53" s="268" t="s">
        <v>322</v>
      </c>
      <c r="H53" s="269">
        <v>111.96100000000001</v>
      </c>
      <c r="I53" s="266" t="s">
        <v>324</v>
      </c>
      <c r="J53" s="268" t="s">
        <v>91</v>
      </c>
      <c r="K53" s="269">
        <v>42</v>
      </c>
      <c r="L53" s="266" t="s">
        <v>182</v>
      </c>
      <c r="M53" s="268" t="s">
        <v>137</v>
      </c>
      <c r="N53" s="269">
        <v>63</v>
      </c>
      <c r="O53" s="266" t="s">
        <v>319</v>
      </c>
      <c r="P53" s="268" t="s">
        <v>325</v>
      </c>
      <c r="Q53" s="269">
        <v>55</v>
      </c>
      <c r="R53" s="266" t="s">
        <v>326</v>
      </c>
      <c r="S53" s="267"/>
    </row>
    <row r="54" spans="1:19" ht="20.25">
      <c r="A54" s="175" t="s">
        <v>171</v>
      </c>
      <c r="B54" s="181">
        <v>63.941000000000031</v>
      </c>
      <c r="C54" s="180" t="s">
        <v>181</v>
      </c>
      <c r="D54" s="268" t="s">
        <v>309</v>
      </c>
      <c r="E54" s="269">
        <v>70.95</v>
      </c>
      <c r="F54" s="266" t="s">
        <v>327</v>
      </c>
      <c r="G54" s="268" t="s">
        <v>311</v>
      </c>
      <c r="H54" s="269">
        <v>64.969000000000051</v>
      </c>
      <c r="I54" s="266" t="s">
        <v>180</v>
      </c>
      <c r="J54" s="268" t="s">
        <v>314</v>
      </c>
      <c r="K54" s="269">
        <v>41</v>
      </c>
      <c r="L54" s="266" t="s">
        <v>326</v>
      </c>
      <c r="M54" s="268" t="s">
        <v>96</v>
      </c>
      <c r="N54" s="269">
        <v>43</v>
      </c>
      <c r="O54" s="266" t="s">
        <v>328</v>
      </c>
      <c r="P54" s="268" t="s">
        <v>329</v>
      </c>
      <c r="Q54" s="269">
        <v>41</v>
      </c>
      <c r="R54" s="266"/>
      <c r="S54" s="267"/>
    </row>
    <row r="55" spans="1:19" ht="20.25">
      <c r="A55" s="175" t="s">
        <v>163</v>
      </c>
      <c r="B55" s="181">
        <v>43.9849999999999</v>
      </c>
      <c r="C55" s="180" t="s">
        <v>328</v>
      </c>
      <c r="D55" s="268" t="s">
        <v>159</v>
      </c>
      <c r="E55" s="269">
        <v>69.951999999999998</v>
      </c>
      <c r="F55" s="266" t="s">
        <v>142</v>
      </c>
      <c r="G55" s="268" t="s">
        <v>162</v>
      </c>
      <c r="H55" s="269">
        <v>56.948999999999955</v>
      </c>
      <c r="I55" s="266" t="s">
        <v>142</v>
      </c>
      <c r="J55" s="268" t="s">
        <v>94</v>
      </c>
      <c r="K55" s="269">
        <v>38</v>
      </c>
      <c r="L55" s="266"/>
      <c r="M55" s="268" t="s">
        <v>311</v>
      </c>
      <c r="N55" s="269">
        <v>34</v>
      </c>
      <c r="O55" s="266" t="s">
        <v>326</v>
      </c>
      <c r="P55" s="268" t="s">
        <v>95</v>
      </c>
      <c r="Q55" s="269">
        <v>39</v>
      </c>
      <c r="R55" s="266" t="s">
        <v>327</v>
      </c>
      <c r="S55" s="267"/>
    </row>
    <row r="56" spans="1:19" ht="20.25">
      <c r="A56" s="175" t="s">
        <v>167</v>
      </c>
      <c r="B56" s="181">
        <v>22.975900000000024</v>
      </c>
      <c r="C56" s="180" t="s">
        <v>142</v>
      </c>
      <c r="D56" s="268" t="s">
        <v>307</v>
      </c>
      <c r="E56" s="269">
        <v>68.959999999999994</v>
      </c>
      <c r="F56" s="266" t="s">
        <v>142</v>
      </c>
      <c r="G56" s="268" t="s">
        <v>137</v>
      </c>
      <c r="H56" s="269">
        <v>36.956000000000017</v>
      </c>
      <c r="I56" s="266" t="s">
        <v>142</v>
      </c>
      <c r="J56" s="268" t="s">
        <v>158</v>
      </c>
      <c r="K56" s="269">
        <v>36</v>
      </c>
      <c r="L56" s="266"/>
      <c r="M56" s="268" t="s">
        <v>91</v>
      </c>
      <c r="N56" s="269">
        <v>27</v>
      </c>
      <c r="O56" s="266"/>
      <c r="P56" s="268" t="s">
        <v>91</v>
      </c>
      <c r="Q56" s="269">
        <v>37</v>
      </c>
      <c r="R56" s="266"/>
      <c r="S56" s="267"/>
    </row>
    <row r="57" spans="1:19" ht="20.25">
      <c r="A57" s="175" t="s">
        <v>165</v>
      </c>
      <c r="B57" s="181">
        <v>18.984000000000037</v>
      </c>
      <c r="C57" s="180" t="s">
        <v>142</v>
      </c>
      <c r="D57" s="268" t="s">
        <v>92</v>
      </c>
      <c r="E57" s="269">
        <v>44.982999999999947</v>
      </c>
      <c r="F57" s="266" t="s">
        <v>326</v>
      </c>
      <c r="G57" s="268" t="s">
        <v>99</v>
      </c>
      <c r="H57" s="269">
        <v>32.948000000000093</v>
      </c>
      <c r="I57" s="266" t="s">
        <v>320</v>
      </c>
      <c r="J57" s="268" t="s">
        <v>167</v>
      </c>
      <c r="K57" s="269">
        <v>32</v>
      </c>
      <c r="L57" s="266" t="s">
        <v>326</v>
      </c>
      <c r="M57" s="268" t="s">
        <v>313</v>
      </c>
      <c r="N57" s="269">
        <v>24</v>
      </c>
      <c r="O57" s="266"/>
      <c r="P57" s="268" t="s">
        <v>163</v>
      </c>
      <c r="Q57" s="269">
        <v>0.1</v>
      </c>
      <c r="R57" s="266"/>
      <c r="S57" s="267"/>
    </row>
    <row r="58" spans="1:19" ht="20.25">
      <c r="A58" s="270"/>
      <c r="B58" s="271"/>
      <c r="C58" s="199"/>
      <c r="D58" s="270" t="s">
        <v>330</v>
      </c>
      <c r="E58" s="271"/>
      <c r="F58" s="199"/>
      <c r="G58" s="270" t="s">
        <v>331</v>
      </c>
      <c r="H58" s="211"/>
      <c r="I58" s="199"/>
      <c r="J58" s="270" t="s">
        <v>332</v>
      </c>
      <c r="K58" s="211"/>
      <c r="L58" s="199"/>
      <c r="M58" s="270" t="s">
        <v>333</v>
      </c>
      <c r="N58" s="211"/>
      <c r="O58" s="199"/>
      <c r="P58" s="272"/>
      <c r="Q58" s="211"/>
      <c r="R58" s="192"/>
      <c r="S58" s="267"/>
    </row>
    <row r="59" spans="1:19" ht="1.5" customHeight="1">
      <c r="A59" s="273"/>
      <c r="B59" s="211"/>
      <c r="C59" s="199"/>
      <c r="D59" s="273"/>
      <c r="E59" s="211"/>
      <c r="F59" s="199"/>
      <c r="G59" s="273"/>
      <c r="H59" s="211"/>
      <c r="I59" s="199"/>
      <c r="J59" s="273"/>
      <c r="K59" s="211"/>
      <c r="L59" s="199"/>
      <c r="M59" s="273"/>
      <c r="N59" s="211"/>
      <c r="O59" s="199"/>
      <c r="P59" s="273"/>
      <c r="Q59" s="211"/>
      <c r="R59" s="192"/>
      <c r="S59" s="267"/>
    </row>
    <row r="60" spans="1:19" ht="20.25">
      <c r="A60" s="274" t="s">
        <v>163</v>
      </c>
      <c r="B60" s="275" t="s">
        <v>178</v>
      </c>
      <c r="C60" s="222">
        <v>1</v>
      </c>
      <c r="D60" s="274" t="s">
        <v>96</v>
      </c>
      <c r="E60" s="275" t="s">
        <v>142</v>
      </c>
      <c r="F60" s="222">
        <v>1</v>
      </c>
      <c r="G60" s="274" t="s">
        <v>96</v>
      </c>
      <c r="H60" s="275" t="s">
        <v>142</v>
      </c>
      <c r="I60" s="222">
        <v>1</v>
      </c>
      <c r="J60" s="274" t="s">
        <v>96</v>
      </c>
      <c r="K60" s="275"/>
      <c r="L60" s="222">
        <v>1</v>
      </c>
      <c r="M60" s="274" t="s">
        <v>96</v>
      </c>
      <c r="N60" s="275"/>
      <c r="O60" s="222">
        <v>1</v>
      </c>
      <c r="P60" s="274" t="s">
        <v>96</v>
      </c>
      <c r="Q60" s="275"/>
      <c r="R60" s="192"/>
      <c r="S60" s="267"/>
    </row>
    <row r="61" spans="1:19" ht="20.25">
      <c r="A61" s="274" t="s">
        <v>96</v>
      </c>
      <c r="B61" s="275">
        <v>-1</v>
      </c>
      <c r="C61" s="222">
        <v>2</v>
      </c>
      <c r="D61" s="274" t="s">
        <v>163</v>
      </c>
      <c r="E61" s="275" t="s">
        <v>334</v>
      </c>
      <c r="F61" s="222">
        <v>2</v>
      </c>
      <c r="G61" s="274" t="s">
        <v>309</v>
      </c>
      <c r="H61" s="275" t="s">
        <v>142</v>
      </c>
      <c r="I61" s="222">
        <v>2</v>
      </c>
      <c r="J61" s="274" t="s">
        <v>309</v>
      </c>
      <c r="K61" s="275" t="s">
        <v>335</v>
      </c>
      <c r="L61" s="222">
        <v>2</v>
      </c>
      <c r="M61" s="274" t="s">
        <v>95</v>
      </c>
      <c r="N61" s="275"/>
      <c r="O61" s="222">
        <v>2</v>
      </c>
      <c r="P61" s="274" t="s">
        <v>95</v>
      </c>
      <c r="Q61" s="275" t="s">
        <v>336</v>
      </c>
      <c r="R61" s="192"/>
      <c r="S61" s="267"/>
    </row>
    <row r="62" spans="1:19" ht="20.25">
      <c r="A62" s="274" t="s">
        <v>95</v>
      </c>
      <c r="B62" s="275" t="s">
        <v>142</v>
      </c>
      <c r="C62" s="231">
        <v>3</v>
      </c>
      <c r="D62" s="274" t="s">
        <v>309</v>
      </c>
      <c r="E62" s="275">
        <v>-1</v>
      </c>
      <c r="F62" s="231">
        <v>3</v>
      </c>
      <c r="G62" s="274" t="s">
        <v>95</v>
      </c>
      <c r="H62" s="275" t="s">
        <v>142</v>
      </c>
      <c r="I62" s="231">
        <v>3</v>
      </c>
      <c r="J62" s="274" t="s">
        <v>95</v>
      </c>
      <c r="K62" s="275">
        <v>-1</v>
      </c>
      <c r="L62" s="231">
        <v>3</v>
      </c>
      <c r="M62" s="274" t="s">
        <v>337</v>
      </c>
      <c r="N62" s="275"/>
      <c r="O62" s="231">
        <v>3</v>
      </c>
      <c r="P62" s="274" t="s">
        <v>97</v>
      </c>
      <c r="Q62" s="275">
        <v>-1</v>
      </c>
      <c r="R62" s="192"/>
      <c r="S62" s="267"/>
    </row>
    <row r="63" spans="1:19" ht="20.25">
      <c r="A63" s="276" t="s">
        <v>99</v>
      </c>
      <c r="B63" s="275" t="s">
        <v>178</v>
      </c>
      <c r="C63" s="237">
        <v>4</v>
      </c>
      <c r="D63" s="276" t="s">
        <v>95</v>
      </c>
      <c r="E63" s="275">
        <v>-1</v>
      </c>
      <c r="F63" s="237">
        <v>4</v>
      </c>
      <c r="G63" s="276" t="s">
        <v>91</v>
      </c>
      <c r="H63" s="275" t="s">
        <v>338</v>
      </c>
      <c r="I63" s="237">
        <v>4</v>
      </c>
      <c r="J63" s="276" t="s">
        <v>97</v>
      </c>
      <c r="K63" s="275">
        <v>-1</v>
      </c>
      <c r="L63" s="237">
        <v>4</v>
      </c>
      <c r="M63" s="276" t="s">
        <v>97</v>
      </c>
      <c r="N63" s="275">
        <v>-1</v>
      </c>
      <c r="O63" s="237">
        <v>4</v>
      </c>
      <c r="P63" s="276" t="s">
        <v>158</v>
      </c>
      <c r="Q63" s="275"/>
      <c r="R63" s="192"/>
      <c r="S63" s="267"/>
    </row>
    <row r="64" spans="1:19" ht="20.25">
      <c r="A64" s="276" t="s">
        <v>93</v>
      </c>
      <c r="B64" s="275" t="s">
        <v>179</v>
      </c>
      <c r="C64" s="237">
        <v>5</v>
      </c>
      <c r="D64" s="276" t="s">
        <v>91</v>
      </c>
      <c r="E64" s="275">
        <v>-1</v>
      </c>
      <c r="F64" s="237">
        <v>5</v>
      </c>
      <c r="G64" s="276" t="s">
        <v>99</v>
      </c>
      <c r="H64" s="275" t="s">
        <v>142</v>
      </c>
      <c r="I64" s="237">
        <v>5</v>
      </c>
      <c r="J64" s="276" t="s">
        <v>158</v>
      </c>
      <c r="K64" s="275"/>
      <c r="L64" s="237">
        <v>5</v>
      </c>
      <c r="M64" s="276" t="s">
        <v>309</v>
      </c>
      <c r="N64" s="275" t="s">
        <v>335</v>
      </c>
      <c r="O64" s="237">
        <v>5</v>
      </c>
      <c r="P64" s="276" t="s">
        <v>94</v>
      </c>
      <c r="Q64" s="275"/>
      <c r="R64" s="192"/>
      <c r="S64" s="267"/>
    </row>
    <row r="65" spans="1:19" ht="20.25">
      <c r="A65" s="276" t="s">
        <v>97</v>
      </c>
      <c r="B65" s="275" t="s">
        <v>142</v>
      </c>
      <c r="C65" s="237">
        <v>6</v>
      </c>
      <c r="D65" s="276" t="s">
        <v>99</v>
      </c>
      <c r="E65" s="275">
        <v>-1</v>
      </c>
      <c r="F65" s="237">
        <v>6</v>
      </c>
      <c r="G65" s="276" t="s">
        <v>97</v>
      </c>
      <c r="H65" s="275">
        <v>-2</v>
      </c>
      <c r="I65" s="237">
        <v>6</v>
      </c>
      <c r="J65" s="276" t="s">
        <v>91</v>
      </c>
      <c r="K65" s="275"/>
      <c r="L65" s="237">
        <v>6</v>
      </c>
      <c r="M65" s="276" t="s">
        <v>158</v>
      </c>
      <c r="N65" s="275">
        <v>-2</v>
      </c>
      <c r="O65" s="237">
        <v>6</v>
      </c>
      <c r="P65" s="276" t="s">
        <v>91</v>
      </c>
      <c r="Q65" s="275" t="s">
        <v>336</v>
      </c>
      <c r="R65" s="192"/>
      <c r="S65" s="267"/>
    </row>
    <row r="66" spans="1:19" ht="20.25">
      <c r="A66" s="276" t="s">
        <v>91</v>
      </c>
      <c r="B66" s="275">
        <v>-3</v>
      </c>
      <c r="C66" s="244">
        <v>7</v>
      </c>
      <c r="D66" s="276" t="s">
        <v>97</v>
      </c>
      <c r="E66" s="275">
        <v>-1</v>
      </c>
      <c r="F66" s="244">
        <v>7</v>
      </c>
      <c r="G66" s="276" t="s">
        <v>163</v>
      </c>
      <c r="H66" s="275" t="s">
        <v>179</v>
      </c>
      <c r="I66" s="244">
        <v>7</v>
      </c>
      <c r="J66" s="276" t="s">
        <v>94</v>
      </c>
      <c r="K66" s="275" t="s">
        <v>336</v>
      </c>
      <c r="L66" s="244">
        <v>7</v>
      </c>
      <c r="M66" s="276" t="s">
        <v>91</v>
      </c>
      <c r="N66" s="275">
        <v>-1</v>
      </c>
      <c r="O66" s="244">
        <v>7</v>
      </c>
      <c r="P66" s="276" t="s">
        <v>309</v>
      </c>
      <c r="Q66" s="275" t="s">
        <v>339</v>
      </c>
      <c r="R66" s="192"/>
      <c r="S66" s="267"/>
    </row>
    <row r="67" spans="1:19" ht="20.25">
      <c r="A67" s="276" t="s">
        <v>94</v>
      </c>
      <c r="B67" s="275" t="s">
        <v>178</v>
      </c>
      <c r="C67" s="237">
        <v>8</v>
      </c>
      <c r="D67" s="276" t="s">
        <v>93</v>
      </c>
      <c r="E67" s="275" t="s">
        <v>340</v>
      </c>
      <c r="F67" s="237">
        <v>8</v>
      </c>
      <c r="G67" s="276" t="s">
        <v>158</v>
      </c>
      <c r="H67" s="275">
        <v>-2</v>
      </c>
      <c r="I67" s="237">
        <v>8</v>
      </c>
      <c r="J67" s="276" t="s">
        <v>163</v>
      </c>
      <c r="K67" s="275" t="s">
        <v>341</v>
      </c>
      <c r="L67" s="237">
        <v>8</v>
      </c>
      <c r="M67" s="276" t="s">
        <v>94</v>
      </c>
      <c r="N67" s="275">
        <v>-3</v>
      </c>
      <c r="O67" s="237">
        <v>8</v>
      </c>
      <c r="P67" s="276" t="s">
        <v>168</v>
      </c>
      <c r="Q67" s="275">
        <v>-2</v>
      </c>
      <c r="R67" s="192"/>
      <c r="S67" s="267"/>
    </row>
    <row r="68" spans="1:19" ht="20.25">
      <c r="A68" s="276" t="s">
        <v>164</v>
      </c>
      <c r="B68" s="275" t="s">
        <v>369</v>
      </c>
      <c r="C68" s="244">
        <v>9</v>
      </c>
      <c r="D68" s="276" t="s">
        <v>166</v>
      </c>
      <c r="E68" s="275" t="s">
        <v>142</v>
      </c>
      <c r="F68" s="244">
        <v>9</v>
      </c>
      <c r="G68" s="276" t="s">
        <v>94</v>
      </c>
      <c r="H68" s="275">
        <v>-1</v>
      </c>
      <c r="I68" s="244">
        <v>9</v>
      </c>
      <c r="J68" s="276" t="s">
        <v>162</v>
      </c>
      <c r="K68" s="275">
        <v>-2</v>
      </c>
      <c r="L68" s="244">
        <v>9</v>
      </c>
      <c r="M68" s="276" t="s">
        <v>162</v>
      </c>
      <c r="N68" s="275" t="s">
        <v>336</v>
      </c>
      <c r="O68" s="244">
        <v>9</v>
      </c>
      <c r="P68" s="276" t="s">
        <v>313</v>
      </c>
      <c r="Q68" s="275"/>
      <c r="R68" s="192"/>
      <c r="S68" s="267"/>
    </row>
    <row r="69" spans="1:19" ht="20.25">
      <c r="A69" s="276" t="s">
        <v>162</v>
      </c>
      <c r="B69" s="275" t="s">
        <v>178</v>
      </c>
      <c r="C69" s="237">
        <v>10</v>
      </c>
      <c r="D69" s="276" t="s">
        <v>94</v>
      </c>
      <c r="E69" s="275" t="s">
        <v>142</v>
      </c>
      <c r="F69" s="237">
        <v>10</v>
      </c>
      <c r="G69" s="276" t="s">
        <v>166</v>
      </c>
      <c r="H69" s="275" t="s">
        <v>342</v>
      </c>
      <c r="I69" s="237">
        <v>10</v>
      </c>
      <c r="J69" s="276" t="s">
        <v>307</v>
      </c>
      <c r="K69" s="275" t="s">
        <v>335</v>
      </c>
      <c r="L69" s="237">
        <v>10</v>
      </c>
      <c r="M69" s="276" t="s">
        <v>168</v>
      </c>
      <c r="N69" s="275">
        <v>-2</v>
      </c>
      <c r="O69" s="237">
        <v>10</v>
      </c>
      <c r="P69" s="276" t="s">
        <v>162</v>
      </c>
      <c r="Q69" s="275"/>
      <c r="R69" s="192"/>
      <c r="S69" s="267"/>
    </row>
    <row r="70" spans="1:19" ht="17.25" customHeight="1">
      <c r="A70" s="273"/>
      <c r="B70" s="211"/>
      <c r="C70" s="199"/>
      <c r="D70" s="273"/>
      <c r="E70" s="211"/>
      <c r="F70" s="199"/>
      <c r="G70" s="273"/>
      <c r="H70" s="211"/>
      <c r="I70" s="199"/>
      <c r="J70" s="273"/>
      <c r="K70" s="211"/>
      <c r="L70" s="199"/>
      <c r="M70" s="273"/>
      <c r="N70" s="211"/>
      <c r="O70" s="199"/>
      <c r="P70" s="273"/>
      <c r="Q70" s="211"/>
      <c r="R70" s="192"/>
      <c r="S70" s="267"/>
    </row>
    <row r="71" spans="1:19" ht="51.75" hidden="1" customHeight="1">
      <c r="A71" s="273"/>
      <c r="B71" s="211"/>
      <c r="C71" s="199"/>
      <c r="D71" s="273"/>
      <c r="E71" s="211"/>
      <c r="F71" s="199"/>
      <c r="G71" s="273"/>
      <c r="H71" s="211"/>
      <c r="I71" s="199"/>
      <c r="J71" s="273"/>
      <c r="K71" s="211"/>
      <c r="L71" s="199"/>
      <c r="M71" s="273"/>
      <c r="N71" s="211"/>
      <c r="O71" s="199"/>
      <c r="P71" s="273"/>
      <c r="Q71" s="211"/>
      <c r="R71" s="192"/>
      <c r="S71" s="267"/>
    </row>
    <row r="72" spans="1:19" ht="20.25">
      <c r="A72" s="277" t="s">
        <v>94</v>
      </c>
      <c r="B72" s="278">
        <v>0.81081923132004807</v>
      </c>
      <c r="C72" s="199"/>
      <c r="D72" s="277" t="s">
        <v>159</v>
      </c>
      <c r="E72" s="278">
        <v>0.75003349994669455</v>
      </c>
      <c r="F72" s="199"/>
      <c r="G72" s="277" t="s">
        <v>91</v>
      </c>
      <c r="H72" s="278">
        <v>0.87721221496966217</v>
      </c>
      <c r="I72" s="199"/>
      <c r="J72" s="277" t="s">
        <v>94</v>
      </c>
      <c r="K72" s="278">
        <v>0.94</v>
      </c>
      <c r="L72" s="199"/>
      <c r="M72" s="277" t="s">
        <v>96</v>
      </c>
      <c r="N72" s="278">
        <v>0.67</v>
      </c>
      <c r="O72" s="199"/>
      <c r="P72" s="277" t="s">
        <v>309</v>
      </c>
      <c r="Q72" s="278">
        <v>0.90500000000000003</v>
      </c>
      <c r="R72" s="192"/>
      <c r="S72" s="267"/>
    </row>
    <row r="73" spans="1:19" ht="20.25">
      <c r="A73" s="277" t="s">
        <v>164</v>
      </c>
      <c r="B73" s="278">
        <v>0.69844170277424544</v>
      </c>
      <c r="C73" s="199"/>
      <c r="D73" s="277" t="s">
        <v>93</v>
      </c>
      <c r="E73" s="278">
        <v>0.70838159923272326</v>
      </c>
      <c r="F73" s="199"/>
      <c r="G73" s="277" t="s">
        <v>166</v>
      </c>
      <c r="H73" s="278">
        <v>0.84621378215644238</v>
      </c>
      <c r="I73" s="199"/>
      <c r="J73" s="277" t="s">
        <v>163</v>
      </c>
      <c r="K73" s="278">
        <v>0.81</v>
      </c>
      <c r="L73" s="199"/>
      <c r="M73" s="277" t="s">
        <v>343</v>
      </c>
      <c r="N73" s="278">
        <v>0.67</v>
      </c>
      <c r="O73" s="199"/>
      <c r="P73" s="277" t="s">
        <v>313</v>
      </c>
      <c r="Q73" s="278">
        <v>0.77600000000000002</v>
      </c>
      <c r="R73" s="192"/>
      <c r="S73" s="267"/>
    </row>
    <row r="74" spans="1:19" ht="20.25">
      <c r="A74" s="277" t="s">
        <v>92</v>
      </c>
      <c r="B74" s="278">
        <v>0.69652352671743778</v>
      </c>
      <c r="C74" s="199"/>
      <c r="D74" s="277" t="s">
        <v>318</v>
      </c>
      <c r="E74" s="278">
        <v>0.70008953839557564</v>
      </c>
      <c r="F74" s="199"/>
      <c r="G74" s="277" t="s">
        <v>137</v>
      </c>
      <c r="H74" s="278">
        <v>0.82149476231747642</v>
      </c>
      <c r="I74" s="199"/>
      <c r="J74" s="277" t="s">
        <v>91</v>
      </c>
      <c r="K74" s="278">
        <v>0.75</v>
      </c>
      <c r="L74" s="199"/>
      <c r="M74" s="277" t="s">
        <v>137</v>
      </c>
      <c r="N74" s="278">
        <v>0.67</v>
      </c>
      <c r="O74" s="199"/>
      <c r="P74" s="277" t="s">
        <v>91</v>
      </c>
      <c r="Q74" s="278">
        <v>0.61</v>
      </c>
      <c r="R74" s="192"/>
      <c r="S74" s="199"/>
    </row>
    <row r="75" spans="1:19" ht="20.25">
      <c r="A75" s="279" t="s">
        <v>163</v>
      </c>
      <c r="B75" s="280">
        <v>0.67049325902550938</v>
      </c>
      <c r="C75" s="199"/>
      <c r="D75" s="279" t="s">
        <v>163</v>
      </c>
      <c r="E75" s="280">
        <v>0.65003575044256001</v>
      </c>
      <c r="F75" s="199"/>
      <c r="G75" s="279" t="s">
        <v>158</v>
      </c>
      <c r="H75" s="280">
        <v>0.70374762155442294</v>
      </c>
      <c r="I75" s="199"/>
      <c r="J75" s="279" t="s">
        <v>344</v>
      </c>
      <c r="K75" s="280">
        <v>0.7</v>
      </c>
      <c r="L75" s="199"/>
      <c r="M75" s="279" t="s">
        <v>158</v>
      </c>
      <c r="N75" s="280">
        <v>0.64</v>
      </c>
      <c r="O75" s="199"/>
      <c r="P75" s="279" t="s">
        <v>317</v>
      </c>
      <c r="Q75" s="280">
        <v>0.60799999999999998</v>
      </c>
      <c r="R75" s="192"/>
      <c r="S75" s="199"/>
    </row>
    <row r="76" spans="1:19" ht="20.25">
      <c r="A76" s="279" t="s">
        <v>162</v>
      </c>
      <c r="B76" s="280">
        <v>0.66673746304487336</v>
      </c>
      <c r="C76" s="199"/>
      <c r="D76" s="279" t="s">
        <v>95</v>
      </c>
      <c r="E76" s="280">
        <v>0.64295157645036316</v>
      </c>
      <c r="F76" s="199"/>
      <c r="G76" s="279" t="s">
        <v>163</v>
      </c>
      <c r="H76" s="280">
        <v>0.69237198358042995</v>
      </c>
      <c r="I76" s="199"/>
      <c r="J76" s="279" t="s">
        <v>345</v>
      </c>
      <c r="K76" s="280">
        <v>0.67</v>
      </c>
      <c r="L76" s="199"/>
      <c r="M76" s="279" t="s">
        <v>163</v>
      </c>
      <c r="N76" s="280">
        <v>0.62</v>
      </c>
      <c r="O76" s="199"/>
      <c r="P76" s="279" t="s">
        <v>159</v>
      </c>
      <c r="Q76" s="280">
        <v>0.60699999999999998</v>
      </c>
      <c r="R76" s="192"/>
      <c r="S76" s="199"/>
    </row>
    <row r="77" spans="1:19" ht="20.25">
      <c r="A77" s="279" t="s">
        <v>93</v>
      </c>
      <c r="B77" s="280">
        <v>0.66666959932339531</v>
      </c>
      <c r="C77" s="199"/>
      <c r="D77" s="279" t="s">
        <v>164</v>
      </c>
      <c r="E77" s="280">
        <v>0.63418721466697292</v>
      </c>
      <c r="F77" s="199"/>
      <c r="G77" s="279" t="s">
        <v>94</v>
      </c>
      <c r="H77" s="280">
        <v>0.69233609974734189</v>
      </c>
      <c r="I77" s="199"/>
      <c r="J77" s="279" t="s">
        <v>309</v>
      </c>
      <c r="K77" s="280">
        <v>0.65</v>
      </c>
      <c r="L77" s="199"/>
      <c r="M77" s="279" t="s">
        <v>309</v>
      </c>
      <c r="N77" s="280">
        <v>0.62</v>
      </c>
      <c r="O77" s="199"/>
      <c r="P77" s="279" t="s">
        <v>95</v>
      </c>
      <c r="Q77" s="280">
        <v>0.58299999999999996</v>
      </c>
      <c r="R77" s="192"/>
      <c r="S77" s="199"/>
    </row>
    <row r="78" spans="1:19" ht="20.25">
      <c r="A78" s="279" t="s">
        <v>165</v>
      </c>
      <c r="B78" s="280">
        <v>0.62266459157914889</v>
      </c>
      <c r="C78" s="199"/>
      <c r="D78" s="279" t="s">
        <v>309</v>
      </c>
      <c r="E78" s="280">
        <v>0.60007268211552456</v>
      </c>
      <c r="F78" s="199"/>
      <c r="G78" s="279" t="s">
        <v>96</v>
      </c>
      <c r="H78" s="280">
        <v>0.66676202576200916</v>
      </c>
      <c r="I78" s="199"/>
      <c r="J78" s="279" t="s">
        <v>137</v>
      </c>
      <c r="K78" s="280">
        <v>0.65</v>
      </c>
      <c r="L78" s="199"/>
      <c r="M78" s="279" t="s">
        <v>165</v>
      </c>
      <c r="N78" s="280">
        <v>0.57999999999999996</v>
      </c>
      <c r="O78" s="199"/>
      <c r="P78" s="279" t="s">
        <v>137</v>
      </c>
      <c r="Q78" s="280">
        <v>0.57699999999999996</v>
      </c>
      <c r="R78" s="192"/>
      <c r="S78" s="199"/>
    </row>
    <row r="79" spans="1:19" ht="20.25">
      <c r="A79" s="279" t="s">
        <v>158</v>
      </c>
      <c r="B79" s="280">
        <v>0.61373325409061619</v>
      </c>
      <c r="C79" s="199"/>
      <c r="D79" s="279" t="s">
        <v>99</v>
      </c>
      <c r="E79" s="280">
        <v>0.58338365318433805</v>
      </c>
      <c r="F79" s="199"/>
      <c r="G79" s="279" t="s">
        <v>165</v>
      </c>
      <c r="H79" s="280">
        <v>0.65390030486264539</v>
      </c>
      <c r="I79" s="199"/>
      <c r="J79" s="279" t="s">
        <v>346</v>
      </c>
      <c r="K79" s="280">
        <v>0.57999999999999996</v>
      </c>
      <c r="L79" s="199"/>
      <c r="M79" s="279" t="s">
        <v>162</v>
      </c>
      <c r="N79" s="280">
        <v>0.56999999999999995</v>
      </c>
      <c r="O79" s="199"/>
      <c r="P79" s="279" t="s">
        <v>329</v>
      </c>
      <c r="Q79" s="280">
        <v>0.54500000000000004</v>
      </c>
      <c r="R79" s="192"/>
      <c r="S79" s="199"/>
    </row>
    <row r="80" spans="1:19" ht="20.25">
      <c r="A80" s="279" t="s">
        <v>98</v>
      </c>
      <c r="B80" s="280">
        <v>0.60006368151561351</v>
      </c>
      <c r="C80" s="199"/>
      <c r="D80" s="279" t="s">
        <v>165</v>
      </c>
      <c r="E80" s="280">
        <v>0.5476468323426783</v>
      </c>
      <c r="F80" s="199"/>
      <c r="G80" s="279" t="s">
        <v>162</v>
      </c>
      <c r="H80" s="280">
        <v>0.63020525703700347</v>
      </c>
      <c r="I80" s="199"/>
      <c r="J80" s="279" t="s">
        <v>347</v>
      </c>
      <c r="K80" s="280">
        <v>0.56999999999999995</v>
      </c>
      <c r="L80" s="199"/>
      <c r="M80" s="279" t="s">
        <v>307</v>
      </c>
      <c r="N80" s="280">
        <v>0.54</v>
      </c>
      <c r="O80" s="199"/>
      <c r="P80" s="279" t="s">
        <v>96</v>
      </c>
      <c r="Q80" s="280">
        <v>0.51800000000000002</v>
      </c>
      <c r="R80" s="192"/>
      <c r="S80" s="199"/>
    </row>
    <row r="81" spans="1:19" ht="20.25">
      <c r="A81" s="279" t="s">
        <v>97</v>
      </c>
      <c r="B81" s="280">
        <v>0.56258364515665904</v>
      </c>
      <c r="C81" s="199"/>
      <c r="D81" s="279" t="s">
        <v>91</v>
      </c>
      <c r="E81" s="280">
        <v>0.54549780837559436</v>
      </c>
      <c r="F81" s="199"/>
      <c r="G81" s="279" t="s">
        <v>311</v>
      </c>
      <c r="H81" s="280">
        <v>0.61909919965260296</v>
      </c>
      <c r="I81" s="199"/>
      <c r="J81" s="279" t="s">
        <v>95</v>
      </c>
      <c r="K81" s="280">
        <v>0.56999999999999995</v>
      </c>
      <c r="L81" s="199"/>
      <c r="M81" s="279" t="s">
        <v>311</v>
      </c>
      <c r="N81" s="280">
        <v>0.51</v>
      </c>
      <c r="O81" s="199"/>
      <c r="P81" s="279" t="s">
        <v>158</v>
      </c>
      <c r="Q81" s="280">
        <v>0.47599999999999998</v>
      </c>
      <c r="R81" s="192"/>
      <c r="S81" s="199"/>
    </row>
    <row r="82" spans="1:19" ht="20.25">
      <c r="A82" s="273"/>
      <c r="B82" s="211"/>
      <c r="C82" s="199"/>
      <c r="D82" s="273"/>
      <c r="E82" s="211"/>
      <c r="F82" s="199"/>
      <c r="G82" s="273"/>
      <c r="H82" s="211"/>
      <c r="I82" s="199"/>
      <c r="J82" s="273"/>
      <c r="K82" s="211"/>
      <c r="L82" s="199"/>
      <c r="M82" s="273"/>
      <c r="N82" s="211"/>
      <c r="O82" s="199"/>
      <c r="P82" s="273"/>
      <c r="Q82" s="211"/>
      <c r="R82" s="192"/>
      <c r="S82" s="199"/>
    </row>
    <row r="83" spans="1:19" ht="9" customHeight="1">
      <c r="A83" s="273"/>
      <c r="B83" s="211"/>
      <c r="C83" s="199"/>
      <c r="D83" s="273"/>
      <c r="E83" s="211" t="s">
        <v>348</v>
      </c>
      <c r="F83" s="199"/>
      <c r="G83" s="273"/>
      <c r="H83" s="211" t="s">
        <v>348</v>
      </c>
      <c r="I83" s="199"/>
      <c r="J83" s="273"/>
      <c r="K83" s="211" t="s">
        <v>348</v>
      </c>
      <c r="L83" s="199"/>
      <c r="M83" s="273"/>
      <c r="N83" s="211" t="s">
        <v>348</v>
      </c>
      <c r="O83" s="199"/>
      <c r="P83" s="273"/>
      <c r="Q83" s="211" t="s">
        <v>348</v>
      </c>
      <c r="R83" s="192"/>
      <c r="S83" s="199"/>
    </row>
    <row r="84" spans="1:19" ht="20.25">
      <c r="A84" s="281" t="s">
        <v>163</v>
      </c>
      <c r="B84" s="282">
        <v>88</v>
      </c>
      <c r="C84" s="199"/>
      <c r="D84" s="281" t="s">
        <v>163</v>
      </c>
      <c r="E84" s="282">
        <v>100</v>
      </c>
      <c r="F84" s="199"/>
      <c r="G84" s="281" t="s">
        <v>163</v>
      </c>
      <c r="H84" s="282">
        <v>104</v>
      </c>
      <c r="I84" s="199"/>
      <c r="J84" s="281" t="s">
        <v>307</v>
      </c>
      <c r="K84" s="282">
        <v>96</v>
      </c>
      <c r="L84" s="199"/>
      <c r="M84" s="281" t="s">
        <v>313</v>
      </c>
      <c r="N84" s="282">
        <v>94</v>
      </c>
      <c r="O84" s="199"/>
      <c r="P84" s="281" t="s">
        <v>168</v>
      </c>
      <c r="Q84" s="282">
        <v>71</v>
      </c>
      <c r="R84" s="192"/>
      <c r="S84" s="199"/>
    </row>
    <row r="85" spans="1:19" ht="20.25">
      <c r="A85" s="281" t="s">
        <v>96</v>
      </c>
      <c r="B85" s="282">
        <v>86</v>
      </c>
      <c r="C85" s="199"/>
      <c r="D85" s="281" t="s">
        <v>309</v>
      </c>
      <c r="E85" s="282">
        <v>90</v>
      </c>
      <c r="F85" s="199"/>
      <c r="G85" s="281" t="s">
        <v>165</v>
      </c>
      <c r="H85" s="282">
        <v>78</v>
      </c>
      <c r="I85" s="199"/>
      <c r="J85" s="281" t="s">
        <v>163</v>
      </c>
      <c r="K85" s="282">
        <v>93</v>
      </c>
      <c r="L85" s="199"/>
      <c r="M85" s="281" t="s">
        <v>347</v>
      </c>
      <c r="N85" s="282">
        <v>82</v>
      </c>
      <c r="O85" s="199"/>
      <c r="P85" s="281" t="s">
        <v>325</v>
      </c>
      <c r="Q85" s="282">
        <v>66</v>
      </c>
      <c r="R85" s="192"/>
      <c r="S85" s="199"/>
    </row>
    <row r="86" spans="1:19" ht="20.25">
      <c r="A86" s="281" t="s">
        <v>167</v>
      </c>
      <c r="B86" s="282">
        <v>69</v>
      </c>
      <c r="C86" s="199"/>
      <c r="D86" s="281" t="s">
        <v>97</v>
      </c>
      <c r="E86" s="282">
        <v>70</v>
      </c>
      <c r="F86" s="199"/>
      <c r="G86" s="281" t="s">
        <v>162</v>
      </c>
      <c r="H86" s="282">
        <v>73</v>
      </c>
      <c r="I86" s="199"/>
      <c r="J86" s="281" t="s">
        <v>309</v>
      </c>
      <c r="K86" s="282">
        <v>82</v>
      </c>
      <c r="L86" s="199"/>
      <c r="M86" s="281" t="s">
        <v>307</v>
      </c>
      <c r="N86" s="282">
        <v>79</v>
      </c>
      <c r="O86" s="199"/>
      <c r="P86" s="281" t="s">
        <v>162</v>
      </c>
      <c r="Q86" s="282">
        <v>64</v>
      </c>
      <c r="R86" s="192"/>
      <c r="S86" s="199"/>
    </row>
    <row r="87" spans="1:19" ht="20.25">
      <c r="A87" s="283" t="s">
        <v>169</v>
      </c>
      <c r="B87" s="284">
        <v>64</v>
      </c>
      <c r="C87" s="199"/>
      <c r="D87" s="283" t="s">
        <v>307</v>
      </c>
      <c r="E87" s="284">
        <v>68</v>
      </c>
      <c r="F87" s="199"/>
      <c r="G87" s="283" t="s">
        <v>309</v>
      </c>
      <c r="H87" s="284">
        <v>73</v>
      </c>
      <c r="I87" s="199"/>
      <c r="J87" s="283" t="s">
        <v>349</v>
      </c>
      <c r="K87" s="284">
        <v>81</v>
      </c>
      <c r="L87" s="199"/>
      <c r="M87" s="283" t="s">
        <v>350</v>
      </c>
      <c r="N87" s="284">
        <v>73</v>
      </c>
      <c r="O87" s="199"/>
      <c r="P87" s="283" t="s">
        <v>350</v>
      </c>
      <c r="Q87" s="284">
        <v>63</v>
      </c>
      <c r="R87" s="192"/>
      <c r="S87" s="199"/>
    </row>
    <row r="88" spans="1:19" ht="20.25">
      <c r="A88" s="283" t="s">
        <v>164</v>
      </c>
      <c r="B88" s="284">
        <v>63</v>
      </c>
      <c r="C88" s="199"/>
      <c r="D88" s="283" t="s">
        <v>98</v>
      </c>
      <c r="E88" s="284">
        <v>65</v>
      </c>
      <c r="F88" s="199"/>
      <c r="G88" s="283" t="s">
        <v>96</v>
      </c>
      <c r="H88" s="284">
        <v>72</v>
      </c>
      <c r="I88" s="199"/>
      <c r="J88" s="283" t="s">
        <v>165</v>
      </c>
      <c r="K88" s="284">
        <v>81</v>
      </c>
      <c r="L88" s="199"/>
      <c r="M88" s="283" t="s">
        <v>345</v>
      </c>
      <c r="N88" s="284">
        <v>69</v>
      </c>
      <c r="O88" s="199"/>
      <c r="P88" s="283" t="s">
        <v>313</v>
      </c>
      <c r="Q88" s="284">
        <v>58</v>
      </c>
      <c r="R88" s="192"/>
      <c r="S88" s="199"/>
    </row>
    <row r="89" spans="1:19" ht="20.25">
      <c r="A89" s="283" t="s">
        <v>98</v>
      </c>
      <c r="B89" s="284">
        <v>60</v>
      </c>
      <c r="C89" s="199"/>
      <c r="D89" s="283" t="s">
        <v>168</v>
      </c>
      <c r="E89" s="284">
        <v>53</v>
      </c>
      <c r="F89" s="199"/>
      <c r="G89" s="283" t="s">
        <v>307</v>
      </c>
      <c r="H89" s="284">
        <v>69</v>
      </c>
      <c r="I89" s="199"/>
      <c r="J89" s="283" t="s">
        <v>311</v>
      </c>
      <c r="K89" s="284">
        <v>76</v>
      </c>
      <c r="L89" s="199"/>
      <c r="M89" s="283" t="s">
        <v>168</v>
      </c>
      <c r="N89" s="284">
        <v>67</v>
      </c>
      <c r="O89" s="199"/>
      <c r="P89" s="283" t="s">
        <v>307</v>
      </c>
      <c r="Q89" s="284">
        <v>57</v>
      </c>
      <c r="R89" s="192"/>
      <c r="S89" s="199"/>
    </row>
    <row r="90" spans="1:19" ht="20.25">
      <c r="A90" s="283" t="s">
        <v>170</v>
      </c>
      <c r="B90" s="284">
        <v>57</v>
      </c>
      <c r="C90" s="199"/>
      <c r="D90" s="283" t="s">
        <v>162</v>
      </c>
      <c r="E90" s="284">
        <v>51</v>
      </c>
      <c r="F90" s="199"/>
      <c r="G90" s="283" t="s">
        <v>166</v>
      </c>
      <c r="H90" s="284">
        <v>65</v>
      </c>
      <c r="I90" s="199"/>
      <c r="J90" s="283" t="s">
        <v>345</v>
      </c>
      <c r="K90" s="284">
        <v>69</v>
      </c>
      <c r="L90" s="199"/>
      <c r="M90" s="283" t="s">
        <v>337</v>
      </c>
      <c r="N90" s="284">
        <v>65</v>
      </c>
      <c r="O90" s="199"/>
      <c r="P90" s="283" t="s">
        <v>345</v>
      </c>
      <c r="Q90" s="284">
        <v>56</v>
      </c>
      <c r="R90" s="192"/>
      <c r="S90" s="199"/>
    </row>
    <row r="91" spans="1:19" ht="20.25">
      <c r="A91" s="285" t="s">
        <v>171</v>
      </c>
      <c r="B91" s="284">
        <v>56</v>
      </c>
      <c r="C91" s="199"/>
      <c r="D91" s="285" t="s">
        <v>99</v>
      </c>
      <c r="E91" s="284">
        <v>48</v>
      </c>
      <c r="F91" s="199"/>
      <c r="G91" s="285" t="s">
        <v>311</v>
      </c>
      <c r="H91" s="284">
        <v>63</v>
      </c>
      <c r="I91" s="199"/>
      <c r="J91" s="285" t="s">
        <v>91</v>
      </c>
      <c r="K91" s="284">
        <v>61</v>
      </c>
      <c r="L91" s="199"/>
      <c r="M91" s="285" t="s">
        <v>91</v>
      </c>
      <c r="N91" s="284">
        <v>61</v>
      </c>
      <c r="O91" s="199"/>
      <c r="P91" s="285" t="s">
        <v>351</v>
      </c>
      <c r="Q91" s="284">
        <v>53</v>
      </c>
      <c r="R91" s="192"/>
      <c r="S91" s="199"/>
    </row>
    <row r="92" spans="1:19">
      <c r="A92" s="199"/>
      <c r="B92" s="211"/>
      <c r="C92" s="199"/>
      <c r="D92" s="199"/>
      <c r="E92" s="211"/>
      <c r="F92" s="199"/>
      <c r="G92" s="199"/>
      <c r="H92" s="211"/>
      <c r="I92" s="199"/>
      <c r="J92" s="199"/>
      <c r="K92" s="211"/>
      <c r="L92" s="199"/>
      <c r="M92" s="199"/>
      <c r="N92" s="211"/>
      <c r="O92" s="199"/>
      <c r="P92" s="199"/>
      <c r="Q92" s="211"/>
      <c r="R92" s="211"/>
      <c r="S92" s="199"/>
    </row>
    <row r="93" spans="1:19">
      <c r="A93" s="199"/>
      <c r="B93" s="211"/>
      <c r="C93" s="199"/>
      <c r="D93" s="199"/>
      <c r="E93" s="211"/>
      <c r="F93" s="199"/>
      <c r="G93" s="199"/>
      <c r="H93" s="211"/>
      <c r="I93" s="199"/>
      <c r="J93" s="199"/>
      <c r="K93" s="211"/>
      <c r="L93" s="199"/>
      <c r="M93" s="199"/>
      <c r="N93" s="211"/>
      <c r="O93" s="199"/>
      <c r="P93" s="199"/>
      <c r="Q93" s="211"/>
      <c r="R93" s="211"/>
      <c r="S93" s="199"/>
    </row>
    <row r="94" spans="1:19">
      <c r="A94" s="199"/>
      <c r="B94" s="211"/>
      <c r="C94" s="199"/>
      <c r="D94" s="199"/>
      <c r="E94" s="211"/>
      <c r="F94" s="199"/>
      <c r="G94" s="199"/>
      <c r="H94" s="211"/>
      <c r="I94" s="199"/>
      <c r="J94" s="199"/>
      <c r="K94" s="211"/>
      <c r="L94" s="199"/>
      <c r="M94" s="199"/>
      <c r="N94" s="211"/>
      <c r="O94" s="199"/>
      <c r="P94" s="199"/>
      <c r="Q94" s="211"/>
      <c r="R94" s="211"/>
      <c r="S94" s="199"/>
    </row>
    <row r="95" spans="1:19">
      <c r="A95" s="199"/>
      <c r="B95" s="211"/>
      <c r="C95" s="199"/>
      <c r="D95" s="199"/>
      <c r="E95" s="211"/>
      <c r="F95" s="199"/>
      <c r="G95" s="199"/>
      <c r="H95" s="211"/>
      <c r="I95" s="199"/>
      <c r="J95" s="199"/>
      <c r="K95" s="211"/>
      <c r="L95" s="199"/>
      <c r="M95" s="199"/>
      <c r="N95" s="211"/>
      <c r="O95" s="199"/>
      <c r="P95" s="199"/>
      <c r="Q95" s="211"/>
      <c r="R95" s="211"/>
      <c r="S95" s="199"/>
    </row>
    <row r="96" spans="1:19">
      <c r="A96" s="199"/>
      <c r="B96" s="211"/>
      <c r="C96" s="199"/>
      <c r="D96" s="199"/>
      <c r="E96" s="211"/>
      <c r="F96" s="199"/>
      <c r="G96" s="199"/>
      <c r="H96" s="211"/>
      <c r="I96" s="199"/>
      <c r="J96" s="199"/>
      <c r="K96" s="211"/>
      <c r="L96" s="199"/>
      <c r="M96" s="199"/>
      <c r="N96" s="211"/>
      <c r="O96" s="199"/>
      <c r="P96" s="199"/>
      <c r="Q96" s="211"/>
      <c r="R96" s="211"/>
      <c r="S96" s="199"/>
    </row>
    <row r="97" spans="1:19">
      <c r="A97" s="199"/>
      <c r="B97" s="211"/>
      <c r="C97" s="199"/>
      <c r="D97" s="199"/>
      <c r="E97" s="211"/>
      <c r="F97" s="199"/>
      <c r="G97" s="199"/>
      <c r="H97" s="211"/>
      <c r="I97" s="199"/>
      <c r="J97" s="199"/>
      <c r="K97" s="211"/>
      <c r="L97" s="199"/>
      <c r="M97" s="199"/>
      <c r="N97" s="211"/>
      <c r="O97" s="199"/>
      <c r="P97" s="199"/>
      <c r="Q97" s="211"/>
      <c r="R97" s="211"/>
      <c r="S97" s="199"/>
    </row>
    <row r="98" spans="1:19">
      <c r="A98" s="199"/>
      <c r="B98" s="211"/>
      <c r="C98" s="199"/>
      <c r="D98" s="199"/>
      <c r="E98" s="211"/>
      <c r="F98" s="199"/>
      <c r="G98" s="199"/>
      <c r="H98" s="211"/>
      <c r="I98" s="199"/>
      <c r="J98" s="199"/>
      <c r="K98" s="211"/>
      <c r="L98" s="199"/>
      <c r="M98" s="199"/>
      <c r="N98" s="211"/>
      <c r="O98" s="199"/>
      <c r="P98" s="199"/>
      <c r="Q98" s="211"/>
      <c r="R98" s="211"/>
      <c r="S98" s="199"/>
    </row>
    <row r="99" spans="1:19">
      <c r="A99" s="199"/>
      <c r="B99" s="211"/>
      <c r="C99" s="199"/>
      <c r="D99" s="199"/>
      <c r="E99" s="211"/>
      <c r="F99" s="199"/>
      <c r="G99" s="199"/>
      <c r="H99" s="211"/>
      <c r="I99" s="199"/>
      <c r="J99" s="199"/>
      <c r="K99" s="211"/>
      <c r="L99" s="199"/>
      <c r="M99" s="199"/>
      <c r="N99" s="211"/>
      <c r="O99" s="199"/>
      <c r="P99" s="199"/>
      <c r="Q99" s="211"/>
      <c r="R99" s="211"/>
      <c r="S99" s="199"/>
    </row>
    <row r="100" spans="1:19">
      <c r="A100" s="199"/>
      <c r="B100" s="211"/>
      <c r="C100" s="199"/>
      <c r="D100" s="199"/>
      <c r="E100" s="211"/>
      <c r="F100" s="199"/>
      <c r="G100" s="199"/>
      <c r="H100" s="211"/>
      <c r="I100" s="199"/>
      <c r="J100" s="199"/>
      <c r="K100" s="211"/>
      <c r="L100" s="199"/>
      <c r="M100" s="199"/>
      <c r="N100" s="211"/>
      <c r="O100" s="199"/>
      <c r="P100" s="199"/>
      <c r="Q100" s="211"/>
      <c r="R100" s="211"/>
      <c r="S100" s="199"/>
    </row>
    <row r="101" spans="1:19">
      <c r="A101" s="199"/>
      <c r="B101" s="211"/>
      <c r="C101" s="199"/>
      <c r="D101" s="199"/>
      <c r="E101" s="211"/>
      <c r="F101" s="199"/>
      <c r="G101" s="199"/>
      <c r="H101" s="211"/>
      <c r="I101" s="199"/>
      <c r="J101" s="199"/>
      <c r="K101" s="211"/>
      <c r="L101" s="199"/>
      <c r="M101" s="199"/>
      <c r="N101" s="211"/>
      <c r="O101" s="199"/>
      <c r="P101" s="199"/>
      <c r="Q101" s="211"/>
      <c r="R101" s="211"/>
      <c r="S101" s="199"/>
    </row>
    <row r="102" spans="1:19">
      <c r="A102" s="199"/>
      <c r="B102" s="211"/>
      <c r="C102" s="199"/>
      <c r="D102" s="199"/>
      <c r="E102" s="211"/>
      <c r="F102" s="199"/>
      <c r="G102" s="199"/>
      <c r="H102" s="211"/>
      <c r="I102" s="199"/>
      <c r="J102" s="199"/>
      <c r="K102" s="211"/>
      <c r="L102" s="199"/>
      <c r="M102" s="199"/>
      <c r="N102" s="211"/>
      <c r="O102" s="199"/>
      <c r="P102" s="199"/>
      <c r="Q102" s="211"/>
      <c r="R102" s="211"/>
      <c r="S102" s="199"/>
    </row>
    <row r="103" spans="1:19">
      <c r="A103" s="199"/>
      <c r="B103" s="211"/>
      <c r="C103" s="199"/>
      <c r="D103" s="199"/>
      <c r="E103" s="211"/>
      <c r="F103" s="199"/>
      <c r="G103" s="199"/>
      <c r="H103" s="211"/>
      <c r="I103" s="199"/>
      <c r="J103" s="199"/>
      <c r="K103" s="211"/>
      <c r="L103" s="199"/>
      <c r="M103" s="199"/>
      <c r="N103" s="211"/>
      <c r="O103" s="199"/>
      <c r="P103" s="199"/>
      <c r="Q103" s="211"/>
      <c r="R103" s="211"/>
      <c r="S103" s="199"/>
    </row>
    <row r="104" spans="1:19">
      <c r="A104" s="199"/>
      <c r="B104" s="211"/>
      <c r="C104" s="199"/>
      <c r="D104" s="199"/>
      <c r="E104" s="211"/>
      <c r="F104" s="199"/>
      <c r="G104" s="199"/>
      <c r="H104" s="211"/>
      <c r="I104" s="199"/>
      <c r="J104" s="199"/>
      <c r="K104" s="211"/>
      <c r="L104" s="199"/>
      <c r="M104" s="199"/>
      <c r="N104" s="211"/>
      <c r="O104" s="199"/>
      <c r="P104" s="199"/>
      <c r="Q104" s="211"/>
      <c r="R104" s="211"/>
      <c r="S104" s="199"/>
    </row>
    <row r="105" spans="1:19">
      <c r="A105" s="199"/>
      <c r="B105" s="211"/>
      <c r="C105" s="199"/>
      <c r="D105" s="199"/>
      <c r="E105" s="211"/>
      <c r="F105" s="199"/>
      <c r="G105" s="199"/>
      <c r="H105" s="211"/>
      <c r="I105" s="199"/>
      <c r="J105" s="199"/>
      <c r="K105" s="211"/>
      <c r="L105" s="199"/>
      <c r="M105" s="199"/>
      <c r="N105" s="211"/>
      <c r="O105" s="199"/>
      <c r="P105" s="199"/>
      <c r="Q105" s="211"/>
      <c r="R105" s="211"/>
      <c r="S105" s="199"/>
    </row>
    <row r="106" spans="1:19">
      <c r="A106" s="199"/>
      <c r="B106" s="211"/>
      <c r="C106" s="199"/>
      <c r="D106" s="199"/>
      <c r="E106" s="211"/>
      <c r="F106" s="199"/>
      <c r="G106" s="199"/>
      <c r="H106" s="211"/>
      <c r="I106" s="199"/>
      <c r="J106" s="199"/>
      <c r="K106" s="211"/>
      <c r="L106" s="199"/>
      <c r="M106" s="199"/>
      <c r="N106" s="211"/>
      <c r="O106" s="199"/>
      <c r="P106" s="199"/>
      <c r="Q106" s="211"/>
      <c r="R106" s="211"/>
      <c r="S106" s="199"/>
    </row>
    <row r="107" spans="1:19">
      <c r="A107" s="199"/>
      <c r="B107" s="211"/>
      <c r="C107" s="199"/>
      <c r="D107" s="199"/>
      <c r="E107" s="211"/>
      <c r="F107" s="199"/>
      <c r="G107" s="199"/>
      <c r="H107" s="211"/>
      <c r="I107" s="199"/>
      <c r="J107" s="199"/>
      <c r="K107" s="211"/>
      <c r="L107" s="199"/>
      <c r="M107" s="199"/>
      <c r="N107" s="211"/>
      <c r="O107" s="199"/>
      <c r="P107" s="199"/>
      <c r="Q107" s="211"/>
      <c r="R107" s="211"/>
      <c r="S107" s="199"/>
    </row>
    <row r="108" spans="1:19">
      <c r="A108" s="199"/>
      <c r="B108" s="211"/>
      <c r="C108" s="199"/>
      <c r="D108" s="199"/>
      <c r="E108" s="211"/>
      <c r="F108" s="199"/>
      <c r="G108" s="199"/>
      <c r="H108" s="211"/>
      <c r="I108" s="199"/>
      <c r="J108" s="199"/>
      <c r="K108" s="211"/>
      <c r="L108" s="199"/>
      <c r="M108" s="199"/>
      <c r="N108" s="211"/>
      <c r="O108" s="199"/>
      <c r="P108" s="199"/>
      <c r="Q108" s="211"/>
      <c r="R108" s="211"/>
      <c r="S108" s="199"/>
    </row>
    <row r="109" spans="1:19">
      <c r="A109" s="199"/>
      <c r="B109" s="211"/>
      <c r="C109" s="199"/>
      <c r="D109" s="199"/>
      <c r="E109" s="211"/>
      <c r="F109" s="199"/>
      <c r="G109" s="199"/>
      <c r="H109" s="211"/>
      <c r="I109" s="199"/>
      <c r="J109" s="199"/>
      <c r="K109" s="211"/>
      <c r="L109" s="199"/>
      <c r="M109" s="199"/>
      <c r="N109" s="211"/>
      <c r="O109" s="199"/>
      <c r="P109" s="199"/>
      <c r="Q109" s="211"/>
      <c r="R109" s="211"/>
      <c r="S109" s="199"/>
    </row>
    <row r="110" spans="1:19">
      <c r="A110" s="199"/>
      <c r="B110" s="211"/>
      <c r="C110" s="199"/>
      <c r="D110" s="199"/>
      <c r="E110" s="211"/>
      <c r="F110" s="199"/>
      <c r="G110" s="199"/>
      <c r="H110" s="211"/>
      <c r="I110" s="199"/>
      <c r="J110" s="199"/>
      <c r="K110" s="211"/>
      <c r="L110" s="199"/>
      <c r="M110" s="199"/>
      <c r="N110" s="211"/>
      <c r="O110" s="199"/>
      <c r="P110" s="199"/>
      <c r="Q110" s="211"/>
      <c r="R110" s="211"/>
      <c r="S110" s="199"/>
    </row>
    <row r="111" spans="1:19">
      <c r="A111" s="199"/>
      <c r="B111" s="211"/>
      <c r="C111" s="199"/>
      <c r="D111" s="199"/>
      <c r="E111" s="211"/>
      <c r="F111" s="199"/>
      <c r="G111" s="199"/>
      <c r="H111" s="211"/>
      <c r="I111" s="199"/>
      <c r="J111" s="199"/>
      <c r="K111" s="211"/>
      <c r="L111" s="199"/>
      <c r="M111" s="199"/>
      <c r="N111" s="211"/>
      <c r="O111" s="199"/>
      <c r="P111" s="199"/>
      <c r="Q111" s="211"/>
      <c r="R111" s="211"/>
      <c r="S111" s="199"/>
    </row>
    <row r="112" spans="1:19">
      <c r="A112" s="199"/>
      <c r="B112" s="211"/>
      <c r="C112" s="199"/>
      <c r="D112" s="199"/>
      <c r="E112" s="211"/>
      <c r="F112" s="199"/>
      <c r="G112" s="199"/>
      <c r="H112" s="211"/>
      <c r="I112" s="199"/>
      <c r="J112" s="199"/>
      <c r="K112" s="211"/>
      <c r="L112" s="199"/>
      <c r="M112" s="199"/>
      <c r="N112" s="211"/>
      <c r="O112" s="199"/>
      <c r="P112" s="199"/>
      <c r="Q112" s="211"/>
      <c r="R112" s="211"/>
      <c r="S112" s="199"/>
    </row>
    <row r="113" spans="1:19">
      <c r="A113" s="199"/>
      <c r="B113" s="211"/>
      <c r="C113" s="199"/>
      <c r="D113" s="199"/>
      <c r="E113" s="211"/>
      <c r="F113" s="199"/>
      <c r="G113" s="199"/>
      <c r="H113" s="211"/>
      <c r="I113" s="199"/>
      <c r="J113" s="199"/>
      <c r="K113" s="211"/>
      <c r="L113" s="199"/>
      <c r="M113" s="199"/>
      <c r="N113" s="211"/>
      <c r="O113" s="199"/>
      <c r="P113" s="199"/>
      <c r="Q113" s="211"/>
      <c r="R113" s="211"/>
      <c r="S113" s="199"/>
    </row>
    <row r="114" spans="1:19">
      <c r="A114" s="199"/>
      <c r="B114" s="211"/>
      <c r="C114" s="199"/>
      <c r="D114" s="199"/>
      <c r="E114" s="211"/>
      <c r="F114" s="199"/>
      <c r="G114" s="199"/>
      <c r="H114" s="211"/>
      <c r="I114" s="199"/>
      <c r="J114" s="199"/>
      <c r="K114" s="211"/>
      <c r="L114" s="199"/>
      <c r="M114" s="199"/>
      <c r="N114" s="211"/>
      <c r="O114" s="199"/>
      <c r="P114" s="199"/>
      <c r="Q114" s="211"/>
      <c r="R114" s="211"/>
      <c r="S114" s="199"/>
    </row>
    <row r="115" spans="1:19">
      <c r="A115" s="199"/>
      <c r="B115" s="211"/>
      <c r="C115" s="199"/>
      <c r="D115" s="199"/>
      <c r="E115" s="211"/>
      <c r="F115" s="199"/>
      <c r="G115" s="199"/>
      <c r="H115" s="211"/>
      <c r="I115" s="199"/>
      <c r="J115" s="199"/>
      <c r="K115" s="211"/>
      <c r="L115" s="199"/>
      <c r="M115" s="199"/>
      <c r="N115" s="211"/>
      <c r="O115" s="199"/>
      <c r="P115" s="199"/>
      <c r="Q115" s="211"/>
      <c r="R115" s="211"/>
      <c r="S115" s="199"/>
    </row>
    <row r="116" spans="1:19">
      <c r="A116" s="199"/>
      <c r="B116" s="211"/>
      <c r="C116" s="199"/>
      <c r="D116" s="199"/>
      <c r="E116" s="211"/>
      <c r="F116" s="199"/>
      <c r="G116" s="199"/>
      <c r="H116" s="211"/>
      <c r="I116" s="199"/>
      <c r="J116" s="199"/>
      <c r="K116" s="211"/>
      <c r="L116" s="199"/>
      <c r="M116" s="199"/>
      <c r="N116" s="211"/>
      <c r="O116" s="199"/>
      <c r="P116" s="199"/>
      <c r="Q116" s="211"/>
      <c r="R116" s="211"/>
      <c r="S116" s="199"/>
    </row>
    <row r="117" spans="1:19">
      <c r="A117" s="199"/>
      <c r="B117" s="211"/>
      <c r="C117" s="199"/>
      <c r="D117" s="199"/>
      <c r="E117" s="211"/>
      <c r="F117" s="199"/>
      <c r="G117" s="199"/>
      <c r="H117" s="211"/>
      <c r="I117" s="199"/>
      <c r="J117" s="199"/>
      <c r="K117" s="211"/>
      <c r="L117" s="199"/>
      <c r="M117" s="199"/>
      <c r="N117" s="211"/>
      <c r="O117" s="199"/>
      <c r="P117" s="199"/>
      <c r="Q117" s="211"/>
      <c r="R117" s="211"/>
      <c r="S117" s="199"/>
    </row>
    <row r="118" spans="1:19">
      <c r="A118" s="199"/>
      <c r="B118" s="211"/>
      <c r="C118" s="199"/>
      <c r="D118" s="199"/>
      <c r="E118" s="211"/>
      <c r="F118" s="199"/>
      <c r="G118" s="199"/>
      <c r="H118" s="211"/>
      <c r="I118" s="199"/>
      <c r="J118" s="199"/>
      <c r="K118" s="211"/>
      <c r="L118" s="199"/>
      <c r="M118" s="199"/>
      <c r="N118" s="211"/>
      <c r="O118" s="199"/>
      <c r="P118" s="199"/>
      <c r="Q118" s="211"/>
      <c r="R118" s="211"/>
      <c r="S118" s="199"/>
    </row>
    <row r="119" spans="1:19">
      <c r="A119" s="199"/>
      <c r="B119" s="211"/>
      <c r="C119" s="199"/>
      <c r="D119" s="199"/>
      <c r="E119" s="211"/>
      <c r="F119" s="199"/>
      <c r="G119" s="199"/>
      <c r="H119" s="211"/>
      <c r="I119" s="199"/>
      <c r="J119" s="199"/>
      <c r="K119" s="211"/>
      <c r="L119" s="199"/>
      <c r="M119" s="199"/>
      <c r="N119" s="211"/>
      <c r="O119" s="199"/>
      <c r="P119" s="199"/>
      <c r="Q119" s="211"/>
      <c r="R119" s="211"/>
      <c r="S119" s="199"/>
    </row>
    <row r="120" spans="1:19">
      <c r="A120" s="199"/>
      <c r="B120" s="211"/>
      <c r="C120" s="199"/>
      <c r="D120" s="199"/>
      <c r="E120" s="211"/>
      <c r="F120" s="199"/>
      <c r="G120" s="199"/>
      <c r="H120" s="211"/>
      <c r="I120" s="199"/>
      <c r="J120" s="199"/>
      <c r="K120" s="211"/>
      <c r="L120" s="199"/>
      <c r="M120" s="199"/>
      <c r="N120" s="211"/>
      <c r="O120" s="199"/>
      <c r="P120" s="199"/>
      <c r="Q120" s="211"/>
      <c r="R120" s="211"/>
      <c r="S120" s="199"/>
    </row>
    <row r="121" spans="1:19">
      <c r="A121" s="199"/>
      <c r="B121" s="211"/>
      <c r="C121" s="199"/>
      <c r="D121" s="199"/>
      <c r="E121" s="211"/>
      <c r="F121" s="199"/>
      <c r="G121" s="199"/>
      <c r="H121" s="211"/>
      <c r="I121" s="199"/>
      <c r="J121" s="199"/>
      <c r="K121" s="211"/>
      <c r="L121" s="199"/>
      <c r="M121" s="199"/>
      <c r="N121" s="211"/>
      <c r="O121" s="199"/>
      <c r="P121" s="199"/>
      <c r="Q121" s="211"/>
      <c r="R121" s="211"/>
      <c r="S121" s="199"/>
    </row>
    <row r="122" spans="1:19">
      <c r="A122" s="199"/>
      <c r="B122" s="211"/>
      <c r="C122" s="199"/>
      <c r="D122" s="199"/>
      <c r="E122" s="211"/>
      <c r="F122" s="199"/>
      <c r="G122" s="199"/>
      <c r="H122" s="211"/>
      <c r="I122" s="199"/>
      <c r="J122" s="199"/>
      <c r="K122" s="211"/>
      <c r="L122" s="199"/>
      <c r="M122" s="199"/>
      <c r="N122" s="211"/>
      <c r="O122" s="199"/>
      <c r="P122" s="199"/>
      <c r="Q122" s="211"/>
      <c r="R122" s="211"/>
      <c r="S122" s="199"/>
    </row>
    <row r="123" spans="1:19">
      <c r="A123" s="199"/>
      <c r="B123" s="211"/>
      <c r="C123" s="199"/>
      <c r="D123" s="199"/>
      <c r="E123" s="211"/>
      <c r="F123" s="199"/>
      <c r="G123" s="199"/>
      <c r="H123" s="211"/>
      <c r="I123" s="199"/>
      <c r="J123" s="199"/>
      <c r="K123" s="211"/>
      <c r="L123" s="199"/>
      <c r="M123" s="199"/>
      <c r="N123" s="211"/>
      <c r="O123" s="199"/>
      <c r="P123" s="199"/>
      <c r="Q123" s="211"/>
      <c r="R123" s="211"/>
      <c r="S123" s="199"/>
    </row>
    <row r="124" spans="1:19">
      <c r="A124" s="199"/>
      <c r="B124" s="211"/>
      <c r="C124" s="199"/>
      <c r="D124" s="199"/>
      <c r="E124" s="211"/>
      <c r="F124" s="199"/>
      <c r="G124" s="199"/>
      <c r="H124" s="211"/>
      <c r="I124" s="199"/>
      <c r="J124" s="199"/>
      <c r="K124" s="211"/>
      <c r="L124" s="199"/>
      <c r="M124" s="199"/>
      <c r="N124" s="211"/>
      <c r="O124" s="199"/>
      <c r="P124" s="199"/>
      <c r="Q124" s="211"/>
      <c r="R124" s="211"/>
      <c r="S124" s="199"/>
    </row>
    <row r="125" spans="1:19">
      <c r="A125" s="199"/>
      <c r="B125" s="211"/>
      <c r="C125" s="199"/>
      <c r="D125" s="199"/>
      <c r="E125" s="211"/>
      <c r="F125" s="199"/>
      <c r="G125" s="199"/>
      <c r="H125" s="211"/>
      <c r="I125" s="199"/>
      <c r="J125" s="199"/>
      <c r="K125" s="211"/>
      <c r="L125" s="199"/>
      <c r="M125" s="199"/>
      <c r="N125" s="211"/>
      <c r="O125" s="199"/>
      <c r="P125" s="199"/>
      <c r="Q125" s="211"/>
      <c r="R125" s="211"/>
      <c r="S125" s="199"/>
    </row>
    <row r="126" spans="1:19">
      <c r="A126" s="199"/>
      <c r="B126" s="211"/>
      <c r="C126" s="199"/>
      <c r="D126" s="199"/>
      <c r="E126" s="211"/>
      <c r="F126" s="199"/>
      <c r="G126" s="199"/>
      <c r="H126" s="211"/>
      <c r="I126" s="199"/>
      <c r="J126" s="199"/>
      <c r="K126" s="211"/>
      <c r="L126" s="199"/>
      <c r="M126" s="199"/>
      <c r="N126" s="211"/>
      <c r="O126" s="199"/>
      <c r="P126" s="199"/>
      <c r="Q126" s="211"/>
      <c r="R126" s="211"/>
      <c r="S126" s="199"/>
    </row>
    <row r="127" spans="1:19">
      <c r="A127" s="199"/>
      <c r="B127" s="211"/>
      <c r="C127" s="199"/>
      <c r="D127" s="199"/>
      <c r="E127" s="211"/>
      <c r="F127" s="199"/>
      <c r="G127" s="199"/>
      <c r="H127" s="211"/>
      <c r="I127" s="199"/>
      <c r="J127" s="199"/>
      <c r="K127" s="211"/>
      <c r="L127" s="199"/>
      <c r="M127" s="199"/>
      <c r="N127" s="211"/>
      <c r="O127" s="199"/>
      <c r="P127" s="199"/>
      <c r="Q127" s="211"/>
      <c r="R127" s="211"/>
      <c r="S127" s="199"/>
    </row>
    <row r="128" spans="1:19">
      <c r="A128" s="199"/>
      <c r="B128" s="211"/>
      <c r="C128" s="199"/>
      <c r="D128" s="199"/>
      <c r="E128" s="211"/>
      <c r="F128" s="199"/>
      <c r="G128" s="199"/>
      <c r="H128" s="211"/>
      <c r="I128" s="199"/>
      <c r="J128" s="199"/>
      <c r="K128" s="211"/>
      <c r="L128" s="199"/>
      <c r="M128" s="199"/>
      <c r="N128" s="211"/>
      <c r="O128" s="199"/>
      <c r="P128" s="199"/>
      <c r="Q128" s="211"/>
      <c r="R128" s="211"/>
      <c r="S128" s="199"/>
    </row>
    <row r="129" spans="1:19">
      <c r="A129" s="199"/>
      <c r="B129" s="211"/>
      <c r="C129" s="199"/>
      <c r="D129" s="199"/>
      <c r="E129" s="211"/>
      <c r="F129" s="199"/>
      <c r="G129" s="199"/>
      <c r="H129" s="211"/>
      <c r="I129" s="199"/>
      <c r="J129" s="199"/>
      <c r="K129" s="211"/>
      <c r="L129" s="199"/>
      <c r="M129" s="199"/>
      <c r="N129" s="211"/>
      <c r="O129" s="199"/>
      <c r="P129" s="199"/>
      <c r="Q129" s="211"/>
      <c r="R129" s="211"/>
      <c r="S129" s="199"/>
    </row>
    <row r="130" spans="1:19">
      <c r="A130" s="199"/>
      <c r="B130" s="211"/>
      <c r="C130" s="199"/>
      <c r="D130" s="199"/>
      <c r="E130" s="211"/>
      <c r="F130" s="199"/>
      <c r="G130" s="199"/>
      <c r="H130" s="211"/>
      <c r="I130" s="199"/>
      <c r="J130" s="199"/>
      <c r="K130" s="211"/>
      <c r="L130" s="199"/>
      <c r="M130" s="199"/>
      <c r="N130" s="211"/>
      <c r="O130" s="199"/>
      <c r="P130" s="199"/>
      <c r="Q130" s="211"/>
      <c r="R130" s="211"/>
      <c r="S130" s="199"/>
    </row>
    <row r="131" spans="1:19">
      <c r="A131" s="199"/>
      <c r="B131" s="211"/>
      <c r="C131" s="199"/>
      <c r="D131" s="199"/>
      <c r="E131" s="211"/>
      <c r="F131" s="199"/>
      <c r="G131" s="199"/>
      <c r="H131" s="211"/>
      <c r="I131" s="199"/>
      <c r="J131" s="199"/>
      <c r="K131" s="211"/>
      <c r="L131" s="199"/>
      <c r="M131" s="199"/>
      <c r="N131" s="211"/>
      <c r="O131" s="199"/>
      <c r="P131" s="199"/>
      <c r="Q131" s="211"/>
      <c r="R131" s="211"/>
      <c r="S131" s="199"/>
    </row>
    <row r="132" spans="1:19">
      <c r="A132" s="199"/>
      <c r="B132" s="211"/>
      <c r="C132" s="199"/>
      <c r="D132" s="199"/>
      <c r="E132" s="211"/>
      <c r="F132" s="199"/>
      <c r="G132" s="199"/>
      <c r="H132" s="211"/>
      <c r="I132" s="199"/>
      <c r="J132" s="199"/>
      <c r="K132" s="211"/>
      <c r="L132" s="199"/>
      <c r="M132" s="199"/>
      <c r="N132" s="211"/>
      <c r="O132" s="199"/>
      <c r="P132" s="199"/>
      <c r="Q132" s="211"/>
      <c r="R132" s="211"/>
      <c r="S132" s="199"/>
    </row>
    <row r="133" spans="1:19">
      <c r="A133" s="199"/>
      <c r="B133" s="211"/>
      <c r="C133" s="199"/>
      <c r="D133" s="199"/>
      <c r="E133" s="211"/>
      <c r="F133" s="199"/>
      <c r="G133" s="199"/>
      <c r="H133" s="211"/>
      <c r="I133" s="199"/>
      <c r="J133" s="199"/>
      <c r="K133" s="211"/>
      <c r="L133" s="199"/>
      <c r="M133" s="199"/>
      <c r="N133" s="211"/>
      <c r="O133" s="199"/>
      <c r="P133" s="199"/>
      <c r="Q133" s="211"/>
      <c r="R133" s="211"/>
      <c r="S133" s="199"/>
    </row>
    <row r="134" spans="1:19">
      <c r="A134" s="199"/>
      <c r="B134" s="211"/>
      <c r="C134" s="199"/>
      <c r="D134" s="199"/>
      <c r="E134" s="211"/>
      <c r="F134" s="199"/>
      <c r="G134" s="199"/>
      <c r="H134" s="211"/>
      <c r="I134" s="199"/>
      <c r="J134" s="199"/>
      <c r="K134" s="211"/>
      <c r="L134" s="199"/>
      <c r="M134" s="199"/>
      <c r="N134" s="211"/>
      <c r="O134" s="199"/>
      <c r="P134" s="199"/>
      <c r="Q134" s="211"/>
      <c r="R134" s="211"/>
      <c r="S134" s="199"/>
    </row>
    <row r="135" spans="1:19">
      <c r="A135" s="199"/>
      <c r="B135" s="211"/>
      <c r="C135" s="199"/>
      <c r="D135" s="199"/>
      <c r="E135" s="211"/>
      <c r="F135" s="199"/>
      <c r="G135" s="199"/>
      <c r="H135" s="211"/>
      <c r="I135" s="199"/>
      <c r="J135" s="199"/>
      <c r="K135" s="211"/>
      <c r="L135" s="199"/>
      <c r="M135" s="199"/>
      <c r="N135" s="211"/>
      <c r="O135" s="199"/>
      <c r="P135" s="199"/>
      <c r="Q135" s="211"/>
      <c r="R135" s="211"/>
      <c r="S135" s="199"/>
    </row>
    <row r="136" spans="1:19">
      <c r="A136" s="199"/>
      <c r="B136" s="211"/>
      <c r="C136" s="199"/>
      <c r="D136" s="199"/>
      <c r="E136" s="211"/>
      <c r="F136" s="199"/>
      <c r="G136" s="199"/>
      <c r="H136" s="211"/>
      <c r="I136" s="199"/>
      <c r="J136" s="199"/>
      <c r="K136" s="211"/>
      <c r="L136" s="199"/>
      <c r="M136" s="199"/>
      <c r="N136" s="211"/>
      <c r="O136" s="199"/>
      <c r="P136" s="199"/>
      <c r="Q136" s="211"/>
      <c r="R136" s="211"/>
      <c r="S136" s="199"/>
    </row>
    <row r="137" spans="1:19">
      <c r="A137" s="199"/>
      <c r="B137" s="211"/>
      <c r="C137" s="199"/>
      <c r="D137" s="199"/>
      <c r="E137" s="211"/>
      <c r="F137" s="199"/>
      <c r="G137" s="199"/>
      <c r="H137" s="211"/>
      <c r="I137" s="199"/>
      <c r="J137" s="199"/>
      <c r="K137" s="211"/>
      <c r="L137" s="199"/>
      <c r="M137" s="199"/>
      <c r="N137" s="211"/>
      <c r="O137" s="199"/>
      <c r="P137" s="199"/>
      <c r="Q137" s="211"/>
      <c r="R137" s="211"/>
      <c r="S137" s="199"/>
    </row>
    <row r="138" spans="1:19">
      <c r="A138" s="199"/>
      <c r="B138" s="211"/>
      <c r="C138" s="199"/>
      <c r="D138" s="199"/>
      <c r="E138" s="211"/>
      <c r="F138" s="199"/>
      <c r="G138" s="199"/>
      <c r="H138" s="211"/>
      <c r="I138" s="199"/>
      <c r="J138" s="199"/>
      <c r="K138" s="211"/>
      <c r="L138" s="199"/>
      <c r="M138" s="199"/>
      <c r="N138" s="211"/>
      <c r="O138" s="199"/>
      <c r="P138" s="199"/>
      <c r="Q138" s="211"/>
      <c r="R138" s="211"/>
      <c r="S138" s="199"/>
    </row>
    <row r="139" spans="1:19">
      <c r="A139" s="199"/>
      <c r="B139" s="211"/>
      <c r="C139" s="199"/>
      <c r="D139" s="199"/>
      <c r="E139" s="211"/>
      <c r="F139" s="199"/>
      <c r="G139" s="199"/>
      <c r="H139" s="211"/>
      <c r="I139" s="199"/>
      <c r="J139" s="199"/>
      <c r="K139" s="211"/>
      <c r="L139" s="199"/>
      <c r="M139" s="199"/>
      <c r="N139" s="211"/>
      <c r="O139" s="199"/>
      <c r="P139" s="199"/>
      <c r="Q139" s="211"/>
      <c r="R139" s="211"/>
      <c r="S139" s="199"/>
    </row>
    <row r="140" spans="1:19">
      <c r="A140" s="199"/>
      <c r="B140" s="211"/>
      <c r="C140" s="199"/>
      <c r="D140" s="199"/>
      <c r="E140" s="211"/>
      <c r="F140" s="199"/>
      <c r="G140" s="199"/>
      <c r="H140" s="211"/>
      <c r="I140" s="199"/>
      <c r="J140" s="199"/>
      <c r="K140" s="211"/>
      <c r="L140" s="199"/>
      <c r="M140" s="199"/>
      <c r="N140" s="211"/>
      <c r="O140" s="199"/>
      <c r="P140" s="199"/>
      <c r="Q140" s="211"/>
      <c r="R140" s="211"/>
      <c r="S140" s="199"/>
    </row>
    <row r="141" spans="1:19">
      <c r="A141" s="199"/>
      <c r="B141" s="211"/>
      <c r="C141" s="199"/>
      <c r="D141" s="199"/>
      <c r="E141" s="211"/>
      <c r="F141" s="199"/>
      <c r="G141" s="199"/>
      <c r="H141" s="211"/>
      <c r="I141" s="199"/>
      <c r="J141" s="199"/>
      <c r="K141" s="211"/>
      <c r="L141" s="199"/>
      <c r="M141" s="199"/>
      <c r="N141" s="211"/>
      <c r="O141" s="199"/>
      <c r="P141" s="199"/>
      <c r="Q141" s="211"/>
      <c r="R141" s="211"/>
      <c r="S141" s="199"/>
    </row>
    <row r="142" spans="1:19">
      <c r="A142" s="199"/>
      <c r="B142" s="211"/>
      <c r="C142" s="199"/>
      <c r="D142" s="199"/>
      <c r="E142" s="211"/>
      <c r="F142" s="199"/>
      <c r="G142" s="199"/>
      <c r="H142" s="211"/>
      <c r="I142" s="199"/>
      <c r="J142" s="199"/>
      <c r="K142" s="211"/>
      <c r="L142" s="199"/>
      <c r="M142" s="199"/>
      <c r="N142" s="211"/>
      <c r="O142" s="199"/>
      <c r="P142" s="199"/>
      <c r="Q142" s="211"/>
      <c r="R142" s="211"/>
      <c r="S142" s="199"/>
    </row>
    <row r="143" spans="1:19">
      <c r="A143" s="199"/>
      <c r="B143" s="211"/>
      <c r="C143" s="199"/>
      <c r="D143" s="199"/>
      <c r="E143" s="211"/>
      <c r="F143" s="199"/>
      <c r="G143" s="199"/>
      <c r="H143" s="211"/>
      <c r="I143" s="199"/>
      <c r="J143" s="199"/>
      <c r="K143" s="211"/>
      <c r="L143" s="199"/>
      <c r="M143" s="199"/>
      <c r="N143" s="211"/>
      <c r="O143" s="199"/>
      <c r="P143" s="199"/>
      <c r="Q143" s="211"/>
      <c r="R143" s="211"/>
      <c r="S143" s="199"/>
    </row>
    <row r="144" spans="1:19">
      <c r="A144" s="199"/>
      <c r="B144" s="211"/>
      <c r="C144" s="199"/>
      <c r="D144" s="199"/>
      <c r="E144" s="211"/>
      <c r="F144" s="199"/>
      <c r="G144" s="199"/>
      <c r="H144" s="211"/>
      <c r="I144" s="199"/>
      <c r="J144" s="199"/>
      <c r="K144" s="211"/>
      <c r="L144" s="199"/>
      <c r="M144" s="199"/>
      <c r="N144" s="211"/>
      <c r="O144" s="199"/>
      <c r="P144" s="199"/>
      <c r="Q144" s="211"/>
      <c r="R144" s="211"/>
      <c r="S144" s="199"/>
    </row>
    <row r="145" spans="1:19">
      <c r="A145" s="199"/>
      <c r="B145" s="211"/>
      <c r="C145" s="199"/>
      <c r="D145" s="199"/>
      <c r="E145" s="211"/>
      <c r="F145" s="199"/>
      <c r="G145" s="199"/>
      <c r="H145" s="211"/>
      <c r="I145" s="199"/>
      <c r="J145" s="199"/>
      <c r="K145" s="211"/>
      <c r="L145" s="199"/>
      <c r="M145" s="199"/>
      <c r="N145" s="211"/>
      <c r="O145" s="199"/>
      <c r="P145" s="199"/>
      <c r="Q145" s="211"/>
      <c r="R145" s="211"/>
      <c r="S145" s="199"/>
    </row>
    <row r="146" spans="1:19">
      <c r="A146" s="199"/>
      <c r="B146" s="211"/>
      <c r="C146" s="199"/>
      <c r="D146" s="199"/>
      <c r="E146" s="211"/>
      <c r="F146" s="199"/>
      <c r="G146" s="199"/>
      <c r="H146" s="211"/>
      <c r="I146" s="199"/>
      <c r="J146" s="199"/>
      <c r="K146" s="211"/>
      <c r="L146" s="199"/>
      <c r="M146" s="199"/>
      <c r="N146" s="211"/>
      <c r="O146" s="199"/>
      <c r="P146" s="199"/>
      <c r="Q146" s="211"/>
      <c r="R146" s="211"/>
      <c r="S146" s="199"/>
    </row>
    <row r="147" spans="1:19">
      <c r="A147" s="199"/>
      <c r="B147" s="211"/>
      <c r="C147" s="199"/>
      <c r="D147" s="199"/>
      <c r="E147" s="211"/>
      <c r="F147" s="199"/>
      <c r="G147" s="199"/>
      <c r="H147" s="211"/>
      <c r="I147" s="199"/>
      <c r="J147" s="199"/>
      <c r="K147" s="211"/>
      <c r="L147" s="199"/>
      <c r="M147" s="199"/>
      <c r="N147" s="211"/>
      <c r="O147" s="199"/>
      <c r="P147" s="199"/>
      <c r="Q147" s="211"/>
      <c r="R147" s="211"/>
      <c r="S147" s="199"/>
    </row>
    <row r="148" spans="1:19">
      <c r="A148" s="199"/>
      <c r="B148" s="211"/>
      <c r="C148" s="199"/>
      <c r="D148" s="199"/>
      <c r="E148" s="211"/>
      <c r="F148" s="199"/>
      <c r="G148" s="199"/>
      <c r="H148" s="211"/>
      <c r="I148" s="199"/>
      <c r="J148" s="199"/>
      <c r="K148" s="211"/>
      <c r="L148" s="199"/>
      <c r="M148" s="199"/>
      <c r="N148" s="211"/>
      <c r="O148" s="199"/>
      <c r="P148" s="199"/>
      <c r="Q148" s="211"/>
      <c r="R148" s="211"/>
      <c r="S148" s="199"/>
    </row>
    <row r="149" spans="1:19">
      <c r="A149" s="199"/>
      <c r="B149" s="211"/>
      <c r="C149" s="199"/>
      <c r="D149" s="199"/>
      <c r="E149" s="211"/>
      <c r="F149" s="199"/>
      <c r="G149" s="199"/>
      <c r="H149" s="211"/>
      <c r="I149" s="199"/>
      <c r="J149" s="199"/>
      <c r="K149" s="211"/>
      <c r="L149" s="199"/>
      <c r="M149" s="199"/>
      <c r="N149" s="211"/>
      <c r="O149" s="199"/>
      <c r="P149" s="199"/>
      <c r="Q149" s="211"/>
      <c r="R149" s="211"/>
      <c r="S149" s="199"/>
    </row>
    <row r="150" spans="1:19">
      <c r="A150" s="199"/>
      <c r="B150" s="211"/>
      <c r="C150" s="199"/>
      <c r="D150" s="199"/>
      <c r="E150" s="211"/>
      <c r="F150" s="199"/>
      <c r="G150" s="199"/>
      <c r="H150" s="211"/>
      <c r="I150" s="199"/>
      <c r="J150" s="199"/>
      <c r="K150" s="211"/>
      <c r="L150" s="199"/>
      <c r="M150" s="199"/>
      <c r="N150" s="211"/>
      <c r="O150" s="199"/>
      <c r="P150" s="199"/>
      <c r="Q150" s="211"/>
      <c r="R150" s="211"/>
      <c r="S150" s="199"/>
    </row>
    <row r="151" spans="1:19">
      <c r="A151" s="199"/>
      <c r="B151" s="211"/>
      <c r="C151" s="199"/>
      <c r="D151" s="199"/>
      <c r="E151" s="211"/>
      <c r="F151" s="199"/>
      <c r="G151" s="199"/>
      <c r="H151" s="211"/>
      <c r="I151" s="199"/>
      <c r="J151" s="199"/>
      <c r="K151" s="211"/>
      <c r="L151" s="199"/>
      <c r="M151" s="199"/>
      <c r="N151" s="211"/>
      <c r="O151" s="199"/>
      <c r="P151" s="199"/>
      <c r="Q151" s="211"/>
      <c r="R151" s="211"/>
      <c r="S151" s="199"/>
    </row>
    <row r="152" spans="1:19">
      <c r="A152" s="199"/>
      <c r="B152" s="211"/>
      <c r="C152" s="199"/>
      <c r="D152" s="199"/>
      <c r="E152" s="211"/>
      <c r="F152" s="199"/>
      <c r="G152" s="199"/>
      <c r="H152" s="211"/>
      <c r="I152" s="199"/>
      <c r="J152" s="199"/>
      <c r="K152" s="211"/>
      <c r="L152" s="199"/>
      <c r="M152" s="199"/>
      <c r="N152" s="211"/>
      <c r="O152" s="199"/>
      <c r="P152" s="199"/>
      <c r="Q152" s="211"/>
      <c r="R152" s="211"/>
      <c r="S152" s="199"/>
    </row>
    <row r="153" spans="1:19">
      <c r="A153" s="199"/>
      <c r="B153" s="211"/>
      <c r="C153" s="199"/>
      <c r="D153" s="199"/>
      <c r="E153" s="211"/>
      <c r="F153" s="199"/>
      <c r="G153" s="199"/>
      <c r="H153" s="211"/>
      <c r="I153" s="199"/>
      <c r="J153" s="199"/>
      <c r="K153" s="211"/>
      <c r="L153" s="199"/>
      <c r="M153" s="199"/>
      <c r="N153" s="211"/>
      <c r="O153" s="199"/>
      <c r="P153" s="199"/>
      <c r="Q153" s="211"/>
      <c r="R153" s="211"/>
      <c r="S153" s="199"/>
    </row>
    <row r="154" spans="1:19">
      <c r="A154" s="199"/>
      <c r="B154" s="211"/>
      <c r="C154" s="199"/>
      <c r="D154" s="199"/>
      <c r="E154" s="211"/>
      <c r="F154" s="199"/>
      <c r="G154" s="199"/>
      <c r="H154" s="211"/>
      <c r="I154" s="199"/>
      <c r="J154" s="199"/>
      <c r="K154" s="211"/>
      <c r="L154" s="199"/>
      <c r="M154" s="199"/>
      <c r="N154" s="211"/>
      <c r="O154" s="199"/>
      <c r="P154" s="199"/>
      <c r="Q154" s="211"/>
      <c r="R154" s="211"/>
      <c r="S154" s="199"/>
    </row>
    <row r="155" spans="1:19">
      <c r="A155" s="199"/>
      <c r="B155" s="211"/>
      <c r="C155" s="199"/>
      <c r="D155" s="199"/>
      <c r="E155" s="211"/>
      <c r="F155" s="199"/>
      <c r="G155" s="199"/>
      <c r="H155" s="211"/>
      <c r="I155" s="199"/>
      <c r="J155" s="199"/>
      <c r="K155" s="211"/>
      <c r="L155" s="199"/>
      <c r="M155" s="199"/>
      <c r="N155" s="211"/>
      <c r="O155" s="199"/>
      <c r="P155" s="199"/>
      <c r="Q155" s="211"/>
      <c r="R155" s="211"/>
      <c r="S155" s="199"/>
    </row>
    <row r="156" spans="1:19">
      <c r="A156" s="199"/>
      <c r="B156" s="211"/>
      <c r="C156" s="199"/>
      <c r="D156" s="199"/>
      <c r="E156" s="211"/>
      <c r="F156" s="199"/>
      <c r="G156" s="199"/>
      <c r="H156" s="211"/>
      <c r="I156" s="199"/>
      <c r="J156" s="199"/>
      <c r="K156" s="211"/>
      <c r="L156" s="199"/>
      <c r="M156" s="199"/>
      <c r="N156" s="211"/>
      <c r="O156" s="199"/>
      <c r="P156" s="199"/>
      <c r="Q156" s="211"/>
      <c r="R156" s="211"/>
      <c r="S156" s="199"/>
    </row>
    <row r="157" spans="1:19">
      <c r="A157" s="199"/>
      <c r="B157" s="211"/>
      <c r="C157" s="199"/>
      <c r="D157" s="199"/>
      <c r="E157" s="211"/>
      <c r="F157" s="199"/>
      <c r="G157" s="199"/>
      <c r="H157" s="211"/>
      <c r="I157" s="199"/>
      <c r="J157" s="199"/>
      <c r="K157" s="211"/>
      <c r="L157" s="199"/>
      <c r="M157" s="199"/>
      <c r="N157" s="211"/>
      <c r="O157" s="199"/>
      <c r="P157" s="199"/>
      <c r="Q157" s="211"/>
      <c r="R157" s="211"/>
      <c r="S157" s="199"/>
    </row>
    <row r="158" spans="1:19">
      <c r="A158" s="199"/>
      <c r="B158" s="211"/>
      <c r="C158" s="199"/>
      <c r="D158" s="199"/>
      <c r="E158" s="211"/>
      <c r="F158" s="199"/>
      <c r="G158" s="199"/>
      <c r="H158" s="211"/>
      <c r="I158" s="199"/>
      <c r="J158" s="199"/>
      <c r="K158" s="211"/>
      <c r="L158" s="199"/>
      <c r="M158" s="199"/>
      <c r="N158" s="211"/>
      <c r="O158" s="199"/>
      <c r="P158" s="199"/>
      <c r="Q158" s="211"/>
      <c r="R158" s="211"/>
      <c r="S158" s="199"/>
    </row>
    <row r="159" spans="1:19">
      <c r="A159" s="199"/>
      <c r="B159" s="211"/>
      <c r="C159" s="199"/>
      <c r="D159" s="199"/>
      <c r="E159" s="211"/>
      <c r="F159" s="199"/>
      <c r="G159" s="199"/>
      <c r="H159" s="211"/>
      <c r="I159" s="199"/>
      <c r="J159" s="199"/>
      <c r="K159" s="211"/>
      <c r="L159" s="199"/>
      <c r="M159" s="199"/>
      <c r="N159" s="211"/>
      <c r="O159" s="199"/>
      <c r="P159" s="199"/>
      <c r="Q159" s="211"/>
      <c r="R159" s="211"/>
      <c r="S159" s="199"/>
    </row>
    <row r="160" spans="1:19">
      <c r="A160" s="199"/>
      <c r="B160" s="211"/>
      <c r="C160" s="199"/>
      <c r="D160" s="199"/>
      <c r="E160" s="211"/>
      <c r="F160" s="199"/>
      <c r="G160" s="199"/>
      <c r="H160" s="211"/>
      <c r="I160" s="199"/>
      <c r="J160" s="199"/>
      <c r="K160" s="211"/>
      <c r="L160" s="199"/>
      <c r="M160" s="199"/>
      <c r="N160" s="211"/>
      <c r="O160" s="199"/>
      <c r="P160" s="199"/>
      <c r="Q160" s="211"/>
      <c r="R160" s="211"/>
      <c r="S160" s="199"/>
    </row>
    <row r="161" spans="1:19">
      <c r="A161" s="199"/>
      <c r="B161" s="211"/>
      <c r="C161" s="199"/>
      <c r="D161" s="199"/>
      <c r="E161" s="211"/>
      <c r="F161" s="199"/>
      <c r="G161" s="199"/>
      <c r="H161" s="211"/>
      <c r="I161" s="199"/>
      <c r="J161" s="199"/>
      <c r="K161" s="211"/>
      <c r="L161" s="199"/>
      <c r="M161" s="199"/>
      <c r="N161" s="211"/>
      <c r="O161" s="199"/>
      <c r="P161" s="199"/>
      <c r="Q161" s="211"/>
      <c r="R161" s="211"/>
      <c r="S161" s="199"/>
    </row>
    <row r="162" spans="1:19">
      <c r="A162" s="199"/>
      <c r="B162" s="211"/>
      <c r="C162" s="199"/>
      <c r="D162" s="199"/>
      <c r="E162" s="211"/>
      <c r="F162" s="199"/>
      <c r="G162" s="199"/>
      <c r="H162" s="211"/>
      <c r="I162" s="199"/>
      <c r="J162" s="199"/>
      <c r="K162" s="211"/>
      <c r="L162" s="199"/>
      <c r="M162" s="199"/>
      <c r="N162" s="211"/>
      <c r="O162" s="199"/>
      <c r="P162" s="199"/>
      <c r="Q162" s="211"/>
      <c r="R162" s="211"/>
      <c r="S162" s="199"/>
    </row>
    <row r="163" spans="1:19">
      <c r="A163" s="199"/>
      <c r="B163" s="211"/>
      <c r="C163" s="199"/>
      <c r="D163" s="199"/>
      <c r="E163" s="211"/>
      <c r="F163" s="199"/>
      <c r="G163" s="199"/>
      <c r="H163" s="211"/>
      <c r="I163" s="199"/>
      <c r="J163" s="199"/>
      <c r="K163" s="211"/>
      <c r="L163" s="199"/>
      <c r="M163" s="199"/>
      <c r="N163" s="211"/>
      <c r="O163" s="199"/>
      <c r="P163" s="199"/>
      <c r="Q163" s="211"/>
      <c r="R163" s="211"/>
      <c r="S163" s="199"/>
    </row>
    <row r="164" spans="1:19">
      <c r="A164" s="199"/>
      <c r="B164" s="211"/>
      <c r="C164" s="199"/>
      <c r="D164" s="199"/>
      <c r="E164" s="211"/>
      <c r="F164" s="199"/>
      <c r="G164" s="199"/>
      <c r="H164" s="211"/>
      <c r="I164" s="199"/>
      <c r="J164" s="199"/>
      <c r="K164" s="211"/>
      <c r="L164" s="199"/>
      <c r="M164" s="199"/>
      <c r="N164" s="211"/>
      <c r="O164" s="199"/>
      <c r="P164" s="199"/>
      <c r="Q164" s="211"/>
      <c r="R164" s="211"/>
      <c r="S164" s="199"/>
    </row>
    <row r="165" spans="1:19">
      <c r="A165" s="199"/>
      <c r="B165" s="211"/>
      <c r="C165" s="199"/>
      <c r="D165" s="199"/>
      <c r="E165" s="211"/>
      <c r="F165" s="199"/>
      <c r="G165" s="199"/>
      <c r="H165" s="211"/>
      <c r="I165" s="199"/>
      <c r="J165" s="199"/>
      <c r="K165" s="211"/>
      <c r="L165" s="199"/>
      <c r="M165" s="199"/>
      <c r="N165" s="211"/>
      <c r="O165" s="199"/>
      <c r="P165" s="199"/>
      <c r="Q165" s="211"/>
      <c r="R165" s="211"/>
      <c r="S165" s="199"/>
    </row>
    <row r="166" spans="1:19">
      <c r="A166" s="199"/>
      <c r="B166" s="211"/>
      <c r="C166" s="199"/>
      <c r="D166" s="199"/>
      <c r="E166" s="211"/>
      <c r="F166" s="199"/>
      <c r="G166" s="199"/>
      <c r="H166" s="211"/>
      <c r="I166" s="199"/>
      <c r="J166" s="199"/>
      <c r="K166" s="211"/>
      <c r="L166" s="199"/>
      <c r="M166" s="199"/>
      <c r="N166" s="211"/>
      <c r="O166" s="199"/>
      <c r="P166" s="199"/>
      <c r="Q166" s="211"/>
      <c r="R166" s="211"/>
      <c r="S166" s="199"/>
    </row>
    <row r="167" spans="1:19">
      <c r="A167" s="199"/>
      <c r="B167" s="211"/>
      <c r="C167" s="199"/>
      <c r="D167" s="199"/>
      <c r="E167" s="211"/>
      <c r="F167" s="199"/>
      <c r="G167" s="199"/>
      <c r="H167" s="211"/>
      <c r="I167" s="199"/>
      <c r="J167" s="199"/>
      <c r="K167" s="211"/>
      <c r="L167" s="199"/>
      <c r="M167" s="199"/>
      <c r="N167" s="211"/>
      <c r="O167" s="199"/>
      <c r="P167" s="199"/>
      <c r="Q167" s="211"/>
      <c r="R167" s="211"/>
      <c r="S167" s="199"/>
    </row>
    <row r="168" spans="1:19">
      <c r="A168" s="199"/>
      <c r="B168" s="211"/>
      <c r="C168" s="199"/>
      <c r="D168" s="199"/>
      <c r="E168" s="211"/>
      <c r="F168" s="199"/>
      <c r="G168" s="199"/>
      <c r="H168" s="211"/>
      <c r="I168" s="199"/>
      <c r="J168" s="199"/>
      <c r="K168" s="211"/>
      <c r="L168" s="199"/>
      <c r="M168" s="199"/>
      <c r="N168" s="211"/>
      <c r="O168" s="199"/>
      <c r="P168" s="199"/>
      <c r="Q168" s="211"/>
      <c r="R168" s="211"/>
      <c r="S168" s="199"/>
    </row>
    <row r="169" spans="1:19">
      <c r="A169" s="199"/>
      <c r="B169" s="211"/>
      <c r="C169" s="199"/>
      <c r="D169" s="199"/>
      <c r="E169" s="211"/>
      <c r="F169" s="199"/>
      <c r="G169" s="199"/>
      <c r="H169" s="211"/>
      <c r="I169" s="199"/>
      <c r="J169" s="199"/>
      <c r="K169" s="211"/>
      <c r="L169" s="199"/>
      <c r="M169" s="199"/>
      <c r="N169" s="211"/>
      <c r="O169" s="199"/>
      <c r="P169" s="199"/>
      <c r="Q169" s="211"/>
      <c r="R169" s="211"/>
    </row>
  </sheetData>
  <mergeCells count="10">
    <mergeCell ref="A44:C44"/>
    <mergeCell ref="S3:S12"/>
    <mergeCell ref="S15:S24"/>
    <mergeCell ref="S27:S36"/>
    <mergeCell ref="S39:S46"/>
    <mergeCell ref="P44:R44"/>
    <mergeCell ref="D44:F44"/>
    <mergeCell ref="G44:I44"/>
    <mergeCell ref="J44:L44"/>
    <mergeCell ref="M44:O44"/>
  </mergeCells>
  <phoneticPr fontId="88" type="noConversion"/>
  <conditionalFormatting sqref="B60:B69 E60:E69 Q60:Q69 N60:N69 H60:H69 K60:K69">
    <cfRule type="cellIs" dxfId="167" priority="1" stopIfTrue="1" operator="equal">
      <formula>0</formula>
    </cfRule>
  </conditionalFormatting>
  <conditionalFormatting sqref="D58 P48:P58 A58 A72:B81 G72:H81 J72:K81 Q48:R57 D72:E81 AG47 M72:N81 J58 P72:Q81 G58 M58 A48:O57">
    <cfRule type="cellIs" dxfId="166" priority="2" stopIfTrue="1" operator="equal">
      <formula>0</formula>
    </cfRule>
    <cfRule type="cellIs" dxfId="165" priority="3" stopIfTrue="1" operator="equal">
      <formula>""</formula>
    </cfRule>
  </conditionalFormatting>
  <conditionalFormatting sqref="T15:T24 F60:F69 I60:I69 L60:L69 O60:O69 C60:C69">
    <cfRule type="cellIs" dxfId="164" priority="4" stopIfTrue="1" operator="equal">
      <formula>0</formula>
    </cfRule>
    <cfRule type="cellIs" dxfId="163" priority="5" stopIfTrue="1" operator="equal">
      <formula>""</formula>
    </cfRule>
  </conditionalFormatting>
  <conditionalFormatting sqref="D6:D10 J6:J10 G6:G10 M6:M10 P6:P10 A6:A10">
    <cfRule type="cellIs" dxfId="162" priority="6" stopIfTrue="1" operator="equal">
      <formula>""</formula>
    </cfRule>
  </conditionalFormatting>
  <hyperlinks>
    <hyperlink ref="P50" r:id="rId1" display="http://www.fftt.com/nclassement/php3/FFTTfi.php3?session=precision%3D5611646%26reqid%3D200&amp;cler=LEKFmJSo/CDOU"/>
    <hyperlink ref="P51" r:id="rId2" display="http://www.fftt.com/nclassement/php3/FFTTfi.php3?session=precision%3D5611736%26reqid%3D200&amp;cler=LEKFmJSo/CDOU"/>
    <hyperlink ref="P53" r:id="rId3" display="http://www.fftt.com/nclassement/php3/FFTTfi.php3?session=precision%3D5611882%26reqid%3D200&amp;cler=LEKFmJSo/CDOU"/>
    <hyperlink ref="P54" r:id="rId4" display="http://www.fftt.com/nclassement/php3/FFTTfi.php3?session=precision%3D5611015%26reqid%3D200&amp;cler=LEKFmJSo/CDOU"/>
    <hyperlink ref="P55" r:id="rId5" display="http://www.fftt.com/nclassement/php3/FFTTfi.php3?session=precision%3D56174%26reqid%3D200&amp;cler=LEKFmJSo/CDOU"/>
    <hyperlink ref="P79" r:id="rId6" display="http://www.fftt.com/nclassement/php3/FFTTfi.php3?session=precision%3D5611015%26reqid%3D200&amp;cler=LEKFmJSo/CDOU"/>
    <hyperlink ref="P85" r:id="rId7" display="http://www.fftt.com/nclassement/php3/FFTTfi.php3?session=precision%3D5611882%26reqid%3D200&amp;cler=LEKFmJSo/CDOU"/>
  </hyperlinks>
  <pageMargins left="0.49" right="0.17" top="0.52" bottom="0.24" header="0.27" footer="0.17"/>
  <pageSetup paperSize="9" scale="34" orientation="landscape" r:id="rId8"/>
  <headerFooter alignWithMargins="0">
    <oddHeader xml:space="preserve">&amp;C&amp;36Résumé 2004 / 2009
</oddHeader>
  </headerFooter>
  <colBreaks count="1" manualBreakCount="1">
    <brk id="18" max="9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J63"/>
  <sheetViews>
    <sheetView showZeros="0" topLeftCell="B1" zoomScale="50" zoomScaleNormal="50" workbookViewId="0">
      <selection activeCell="B87" sqref="B87"/>
    </sheetView>
  </sheetViews>
  <sheetFormatPr baseColWidth="10" defaultRowHeight="12.75"/>
  <cols>
    <col min="1" max="5" width="11.42578125" style="1"/>
    <col min="6" max="6" width="44.85546875" style="1" customWidth="1"/>
    <col min="7" max="261" width="11.42578125" style="1"/>
    <col min="262" max="262" width="44.85546875" style="1" customWidth="1"/>
    <col min="263" max="517" width="11.42578125" style="1"/>
    <col min="518" max="518" width="44.85546875" style="1" customWidth="1"/>
    <col min="519" max="773" width="11.42578125" style="1"/>
    <col min="774" max="774" width="44.85546875" style="1" customWidth="1"/>
    <col min="775" max="1029" width="11.42578125" style="1"/>
    <col min="1030" max="1030" width="44.85546875" style="1" customWidth="1"/>
    <col min="1031" max="1285" width="11.42578125" style="1"/>
    <col min="1286" max="1286" width="44.85546875" style="1" customWidth="1"/>
    <col min="1287" max="1541" width="11.42578125" style="1"/>
    <col min="1542" max="1542" width="44.85546875" style="1" customWidth="1"/>
    <col min="1543" max="1797" width="11.42578125" style="1"/>
    <col min="1798" max="1798" width="44.85546875" style="1" customWidth="1"/>
    <col min="1799" max="2053" width="11.42578125" style="1"/>
    <col min="2054" max="2054" width="44.85546875" style="1" customWidth="1"/>
    <col min="2055" max="2309" width="11.42578125" style="1"/>
    <col min="2310" max="2310" width="44.85546875" style="1" customWidth="1"/>
    <col min="2311" max="2565" width="11.42578125" style="1"/>
    <col min="2566" max="2566" width="44.85546875" style="1" customWidth="1"/>
    <col min="2567" max="2821" width="11.42578125" style="1"/>
    <col min="2822" max="2822" width="44.85546875" style="1" customWidth="1"/>
    <col min="2823" max="3077" width="11.42578125" style="1"/>
    <col min="3078" max="3078" width="44.85546875" style="1" customWidth="1"/>
    <col min="3079" max="3333" width="11.42578125" style="1"/>
    <col min="3334" max="3334" width="44.85546875" style="1" customWidth="1"/>
    <col min="3335" max="3589" width="11.42578125" style="1"/>
    <col min="3590" max="3590" width="44.85546875" style="1" customWidth="1"/>
    <col min="3591" max="3845" width="11.42578125" style="1"/>
    <col min="3846" max="3846" width="44.85546875" style="1" customWidth="1"/>
    <col min="3847" max="4101" width="11.42578125" style="1"/>
    <col min="4102" max="4102" width="44.85546875" style="1" customWidth="1"/>
    <col min="4103" max="4357" width="11.42578125" style="1"/>
    <col min="4358" max="4358" width="44.85546875" style="1" customWidth="1"/>
    <col min="4359" max="4613" width="11.42578125" style="1"/>
    <col min="4614" max="4614" width="44.85546875" style="1" customWidth="1"/>
    <col min="4615" max="4869" width="11.42578125" style="1"/>
    <col min="4870" max="4870" width="44.85546875" style="1" customWidth="1"/>
    <col min="4871" max="5125" width="11.42578125" style="1"/>
    <col min="5126" max="5126" width="44.85546875" style="1" customWidth="1"/>
    <col min="5127" max="5381" width="11.42578125" style="1"/>
    <col min="5382" max="5382" width="44.85546875" style="1" customWidth="1"/>
    <col min="5383" max="5637" width="11.42578125" style="1"/>
    <col min="5638" max="5638" width="44.85546875" style="1" customWidth="1"/>
    <col min="5639" max="5893" width="11.42578125" style="1"/>
    <col min="5894" max="5894" width="44.85546875" style="1" customWidth="1"/>
    <col min="5895" max="6149" width="11.42578125" style="1"/>
    <col min="6150" max="6150" width="44.85546875" style="1" customWidth="1"/>
    <col min="6151" max="6405" width="11.42578125" style="1"/>
    <col min="6406" max="6406" width="44.85546875" style="1" customWidth="1"/>
    <col min="6407" max="6661" width="11.42578125" style="1"/>
    <col min="6662" max="6662" width="44.85546875" style="1" customWidth="1"/>
    <col min="6663" max="6917" width="11.42578125" style="1"/>
    <col min="6918" max="6918" width="44.85546875" style="1" customWidth="1"/>
    <col min="6919" max="7173" width="11.42578125" style="1"/>
    <col min="7174" max="7174" width="44.85546875" style="1" customWidth="1"/>
    <col min="7175" max="7429" width="11.42578125" style="1"/>
    <col min="7430" max="7430" width="44.85546875" style="1" customWidth="1"/>
    <col min="7431" max="7685" width="11.42578125" style="1"/>
    <col min="7686" max="7686" width="44.85546875" style="1" customWidth="1"/>
    <col min="7687" max="7941" width="11.42578125" style="1"/>
    <col min="7942" max="7942" width="44.85546875" style="1" customWidth="1"/>
    <col min="7943" max="8197" width="11.42578125" style="1"/>
    <col min="8198" max="8198" width="44.85546875" style="1" customWidth="1"/>
    <col min="8199" max="8453" width="11.42578125" style="1"/>
    <col min="8454" max="8454" width="44.85546875" style="1" customWidth="1"/>
    <col min="8455" max="8709" width="11.42578125" style="1"/>
    <col min="8710" max="8710" width="44.85546875" style="1" customWidth="1"/>
    <col min="8711" max="8965" width="11.42578125" style="1"/>
    <col min="8966" max="8966" width="44.85546875" style="1" customWidth="1"/>
    <col min="8967" max="9221" width="11.42578125" style="1"/>
    <col min="9222" max="9222" width="44.85546875" style="1" customWidth="1"/>
    <col min="9223" max="9477" width="11.42578125" style="1"/>
    <col min="9478" max="9478" width="44.85546875" style="1" customWidth="1"/>
    <col min="9479" max="9733" width="11.42578125" style="1"/>
    <col min="9734" max="9734" width="44.85546875" style="1" customWidth="1"/>
    <col min="9735" max="9989" width="11.42578125" style="1"/>
    <col min="9990" max="9990" width="44.85546875" style="1" customWidth="1"/>
    <col min="9991" max="10245" width="11.42578125" style="1"/>
    <col min="10246" max="10246" width="44.85546875" style="1" customWidth="1"/>
    <col min="10247" max="10501" width="11.42578125" style="1"/>
    <col min="10502" max="10502" width="44.85546875" style="1" customWidth="1"/>
    <col min="10503" max="10757" width="11.42578125" style="1"/>
    <col min="10758" max="10758" width="44.85546875" style="1" customWidth="1"/>
    <col min="10759" max="11013" width="11.42578125" style="1"/>
    <col min="11014" max="11014" width="44.85546875" style="1" customWidth="1"/>
    <col min="11015" max="11269" width="11.42578125" style="1"/>
    <col min="11270" max="11270" width="44.85546875" style="1" customWidth="1"/>
    <col min="11271" max="11525" width="11.42578125" style="1"/>
    <col min="11526" max="11526" width="44.85546875" style="1" customWidth="1"/>
    <col min="11527" max="11781" width="11.42578125" style="1"/>
    <col min="11782" max="11782" width="44.85546875" style="1" customWidth="1"/>
    <col min="11783" max="12037" width="11.42578125" style="1"/>
    <col min="12038" max="12038" width="44.85546875" style="1" customWidth="1"/>
    <col min="12039" max="12293" width="11.42578125" style="1"/>
    <col min="12294" max="12294" width="44.85546875" style="1" customWidth="1"/>
    <col min="12295" max="12549" width="11.42578125" style="1"/>
    <col min="12550" max="12550" width="44.85546875" style="1" customWidth="1"/>
    <col min="12551" max="12805" width="11.42578125" style="1"/>
    <col min="12806" max="12806" width="44.85546875" style="1" customWidth="1"/>
    <col min="12807" max="13061" width="11.42578125" style="1"/>
    <col min="13062" max="13062" width="44.85546875" style="1" customWidth="1"/>
    <col min="13063" max="13317" width="11.42578125" style="1"/>
    <col min="13318" max="13318" width="44.85546875" style="1" customWidth="1"/>
    <col min="13319" max="13573" width="11.42578125" style="1"/>
    <col min="13574" max="13574" width="44.85546875" style="1" customWidth="1"/>
    <col min="13575" max="13829" width="11.42578125" style="1"/>
    <col min="13830" max="13830" width="44.85546875" style="1" customWidth="1"/>
    <col min="13831" max="14085" width="11.42578125" style="1"/>
    <col min="14086" max="14086" width="44.85546875" style="1" customWidth="1"/>
    <col min="14087" max="14341" width="11.42578125" style="1"/>
    <col min="14342" max="14342" width="44.85546875" style="1" customWidth="1"/>
    <col min="14343" max="14597" width="11.42578125" style="1"/>
    <col min="14598" max="14598" width="44.85546875" style="1" customWidth="1"/>
    <col min="14599" max="14853" width="11.42578125" style="1"/>
    <col min="14854" max="14854" width="44.85546875" style="1" customWidth="1"/>
    <col min="14855" max="15109" width="11.42578125" style="1"/>
    <col min="15110" max="15110" width="44.85546875" style="1" customWidth="1"/>
    <col min="15111" max="15365" width="11.42578125" style="1"/>
    <col min="15366" max="15366" width="44.85546875" style="1" customWidth="1"/>
    <col min="15367" max="15621" width="11.42578125" style="1"/>
    <col min="15622" max="15622" width="44.85546875" style="1" customWidth="1"/>
    <col min="15623" max="15877" width="11.42578125" style="1"/>
    <col min="15878" max="15878" width="44.85546875" style="1" customWidth="1"/>
    <col min="15879" max="16133" width="11.42578125" style="1"/>
    <col min="16134" max="16134" width="44.85546875" style="1" customWidth="1"/>
    <col min="16135" max="16384" width="11.42578125" style="1"/>
  </cols>
  <sheetData>
    <row r="11" spans="3:6" ht="60">
      <c r="F11" s="150" t="s">
        <v>399</v>
      </c>
    </row>
    <row r="14" spans="3:6" ht="51.75" customHeight="1"/>
    <row r="15" spans="3:6" ht="82.5">
      <c r="C15" s="146" t="s">
        <v>0</v>
      </c>
    </row>
    <row r="33" spans="4:10" ht="23.25">
      <c r="F33" s="2"/>
    </row>
    <row r="34" spans="4:10" ht="33">
      <c r="F34" s="147">
        <f>[5]Calendrier!I60</f>
        <v>0</v>
      </c>
    </row>
    <row r="36" spans="4:10" ht="15">
      <c r="I36" s="139"/>
      <c r="J36" s="4"/>
    </row>
    <row r="37" spans="4:10" ht="15">
      <c r="I37" s="139"/>
      <c r="J37" s="4"/>
    </row>
    <row r="38" spans="4:10" ht="15">
      <c r="I38" s="139"/>
      <c r="J38" s="4"/>
    </row>
    <row r="40" spans="4:10" ht="27">
      <c r="D40" s="311"/>
      <c r="E40" s="312"/>
      <c r="F40" s="313"/>
      <c r="G40" s="313"/>
      <c r="H40" s="311"/>
    </row>
    <row r="41" spans="4:10" ht="52.5" customHeight="1">
      <c r="D41" s="1180" t="s">
        <v>400</v>
      </c>
      <c r="E41" s="1181"/>
      <c r="F41" s="1181"/>
      <c r="G41" s="1181"/>
      <c r="H41" s="1182"/>
    </row>
    <row r="42" spans="4:10" ht="45.75" customHeight="1">
      <c r="D42" s="1183" t="s">
        <v>401</v>
      </c>
      <c r="E42" s="1184"/>
      <c r="F42" s="1184"/>
      <c r="G42" s="1184"/>
      <c r="H42" s="1185"/>
    </row>
    <row r="43" spans="4:10" ht="81" customHeight="1">
      <c r="D43" s="314"/>
      <c r="E43" s="315"/>
      <c r="F43" s="316"/>
      <c r="G43" s="316"/>
      <c r="H43" s="314"/>
    </row>
    <row r="44" spans="4:10" ht="23.25">
      <c r="D44" s="59"/>
      <c r="E44" s="145"/>
      <c r="F44" s="140"/>
      <c r="G44" s="140"/>
      <c r="H44" s="59"/>
    </row>
    <row r="45" spans="4:10" ht="23.25">
      <c r="D45" s="59"/>
      <c r="E45" s="141"/>
      <c r="F45" s="140"/>
      <c r="G45" s="140"/>
      <c r="H45" s="59"/>
    </row>
    <row r="54" spans="5:6" ht="30">
      <c r="F54" s="148" t="s">
        <v>1</v>
      </c>
    </row>
    <row r="55" spans="5:6">
      <c r="E55" s="4"/>
    </row>
    <row r="56" spans="5:6">
      <c r="E56" s="4"/>
    </row>
    <row r="57" spans="5:6" ht="27">
      <c r="E57" s="149">
        <v>1</v>
      </c>
      <c r="F57" s="3" t="s">
        <v>2</v>
      </c>
    </row>
    <row r="58" spans="5:6" ht="27">
      <c r="E58" s="149">
        <v>2</v>
      </c>
      <c r="F58" s="3" t="s">
        <v>3</v>
      </c>
    </row>
    <row r="59" spans="5:6" ht="27">
      <c r="E59" s="149">
        <v>3</v>
      </c>
      <c r="F59" s="3" t="s">
        <v>4</v>
      </c>
    </row>
    <row r="60" spans="5:6" ht="27">
      <c r="E60" s="149">
        <v>4</v>
      </c>
      <c r="F60" s="3" t="s">
        <v>5</v>
      </c>
    </row>
    <row r="61" spans="5:6" ht="27">
      <c r="E61" s="149">
        <v>5</v>
      </c>
      <c r="F61" s="151" t="s">
        <v>141</v>
      </c>
    </row>
    <row r="62" spans="5:6" ht="27">
      <c r="E62" s="149">
        <v>6</v>
      </c>
      <c r="F62" s="151" t="s">
        <v>402</v>
      </c>
    </row>
    <row r="63" spans="5:6" ht="27">
      <c r="E63" s="149">
        <v>7</v>
      </c>
      <c r="F63" s="151" t="s">
        <v>403</v>
      </c>
    </row>
  </sheetData>
  <mergeCells count="2">
    <mergeCell ref="D41:H41"/>
    <mergeCell ref="D42:H42"/>
  </mergeCells>
  <pageMargins left="0.74791666666666667" right="0.74791666666666667" top="0.98402777777777783" bottom="0.98402777777777783" header="0.51180555555555562" footer="0.51180555555555562"/>
  <pageSetup paperSize="9" scale="54"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9"/>
  <sheetViews>
    <sheetView showZeros="0" zoomScaleNormal="100" workbookViewId="0">
      <selection activeCell="F42" sqref="F42"/>
    </sheetView>
  </sheetViews>
  <sheetFormatPr baseColWidth="10" defaultRowHeight="12.75"/>
  <cols>
    <col min="1" max="1" width="12" style="1" customWidth="1"/>
    <col min="2" max="2" width="11.7109375" style="1" customWidth="1"/>
    <col min="3" max="3" width="8.7109375" style="1" customWidth="1"/>
    <col min="4" max="4" width="8.140625" style="1" customWidth="1"/>
    <col min="5" max="5" width="9.7109375" style="1" customWidth="1"/>
    <col min="6" max="6" width="11.85546875" style="1" customWidth="1"/>
    <col min="7" max="7" width="7.140625" style="1" customWidth="1"/>
    <col min="8" max="8" width="12.42578125" style="1" customWidth="1"/>
    <col min="9" max="9" width="10.7109375" style="1" customWidth="1"/>
    <col min="10" max="10" width="7.85546875" style="1" customWidth="1"/>
    <col min="11" max="11" width="6.85546875" style="1" customWidth="1"/>
    <col min="12" max="12" width="9.5703125" style="1" customWidth="1"/>
    <col min="13" max="23" width="11.42578125" style="1"/>
    <col min="24" max="24" width="11.42578125" style="5"/>
    <col min="25" max="33" width="11.42578125" style="1"/>
    <col min="34" max="34" width="11.42578125" style="317"/>
    <col min="35" max="16384" width="11.42578125" style="1"/>
  </cols>
  <sheetData>
    <row r="2" spans="1:12" ht="20.25">
      <c r="B2" s="67" t="s">
        <v>140</v>
      </c>
      <c r="C2" s="67"/>
      <c r="D2" s="144"/>
      <c r="E2" s="144"/>
      <c r="F2" s="144"/>
      <c r="G2" s="67"/>
      <c r="H2" s="1186" t="str">
        <f>[5]Sommaire!F11</f>
        <v>2014 - 2015</v>
      </c>
      <c r="I2" s="1186"/>
      <c r="J2" s="6"/>
    </row>
    <row r="3" spans="1:12">
      <c r="C3" s="5"/>
      <c r="D3" s="7"/>
      <c r="I3" s="8"/>
      <c r="J3" s="9" t="str">
        <f>[1]Stat.adhérents!J2</f>
        <v>Age moyen       (hors jeunes)</v>
      </c>
      <c r="K3" s="9"/>
      <c r="L3" s="9"/>
    </row>
    <row r="4" spans="1:12">
      <c r="A4" s="10" t="str">
        <f>[1]Stat.adhérents!A3</f>
        <v>Nombre total d'adhérents :</v>
      </c>
      <c r="B4" s="11"/>
      <c r="C4" s="12">
        <f>[1]Stat.adhérents!C3</f>
        <v>57</v>
      </c>
      <c r="D4" s="13" t="str">
        <f ca="1">[1]Stat.adhérents!D3</f>
        <v>( et 1 extérieur(s)) , dont  40 % de jeunes</v>
      </c>
      <c r="E4" s="12"/>
      <c r="F4" s="13"/>
      <c r="G4" s="14"/>
      <c r="I4" s="15" t="str">
        <f>[1]Stat.adhérents!I3</f>
        <v>Tradi</v>
      </c>
      <c r="J4" s="16">
        <f ca="1">[1]Stat.adhérents!J3</f>
        <v>31.857142857142858</v>
      </c>
      <c r="K4" s="331" t="str">
        <f>[1]Stat.adhérents!K3</f>
        <v>ans</v>
      </c>
      <c r="L4" s="17">
        <f ca="1">[1]Stat.adhérents!L3</f>
        <v>41.185185185185183</v>
      </c>
    </row>
    <row r="5" spans="1:12">
      <c r="A5" s="11" t="str">
        <f>[1]Stat.adhérents!A4</f>
        <v>Nombre de licences tradi. :</v>
      </c>
      <c r="B5" s="11"/>
      <c r="C5" s="18" t="str">
        <f>[1]Stat.adhérents!C4</f>
        <v>42  soit</v>
      </c>
      <c r="D5" s="330">
        <f ca="1">[1]Stat.adhérents!D4</f>
        <v>0.73684210526315785</v>
      </c>
      <c r="E5" s="18" t="str">
        <f>[1]Stat.adhérents!E4</f>
        <v>dont:</v>
      </c>
      <c r="F5" s="18">
        <f ca="1">[1]Stat.adhérents!F4</f>
        <v>15</v>
      </c>
      <c r="G5" s="330" t="str">
        <f>[1]Stat.adhérents!G4</f>
        <v>jeune(s)</v>
      </c>
      <c r="I5" s="15" t="str">
        <f>[1]Stat.adhérents!I4</f>
        <v>Promo</v>
      </c>
      <c r="J5" s="16">
        <f ca="1">[1]Stat.adhérents!J4</f>
        <v>27.866666666666667</v>
      </c>
      <c r="K5" s="331" t="str">
        <f>[1]Stat.adhérents!K4</f>
        <v>ans</v>
      </c>
      <c r="L5" s="17">
        <f ca="1">[1]Stat.adhérents!L4</f>
        <v>43.163834422657949</v>
      </c>
    </row>
    <row r="6" spans="1:12">
      <c r="A6" s="19" t="str">
        <f>[1]Stat.adhérents!A5</f>
        <v>Nombre de licences loisirs :</v>
      </c>
      <c r="B6" s="11"/>
      <c r="C6" s="18" t="str">
        <f ca="1">[1]Stat.adhérents!C5</f>
        <v>15  soit</v>
      </c>
      <c r="D6" s="332">
        <f ca="1">[1]Stat.adhérents!D5</f>
        <v>0.26315789473684209</v>
      </c>
      <c r="E6" s="18" t="str">
        <f>[1]Stat.adhérents!E5</f>
        <v>dont:</v>
      </c>
      <c r="F6" s="18">
        <f ca="1">[1]Stat.adhérents!F5</f>
        <v>8</v>
      </c>
      <c r="G6" s="330" t="str">
        <f>[1]Stat.adhérents!G5</f>
        <v>jeune(s)</v>
      </c>
      <c r="I6" s="15" t="str">
        <f>[1]Stat.adhérents!I5</f>
        <v>Ensemble</v>
      </c>
      <c r="J6" s="16">
        <f ca="1">[1]Stat.adhérents!J5</f>
        <v>30.807017543859651</v>
      </c>
      <c r="K6" s="331" t="str">
        <f>[1]Stat.adhérents!K5</f>
        <v>ans</v>
      </c>
      <c r="L6" s="17">
        <f ca="1">[1]Stat.adhérents!L5</f>
        <v>41.705882352941174</v>
      </c>
    </row>
    <row r="7" spans="1:12">
      <c r="A7" s="11" t="str">
        <f>[1]Stat.adhérents!A6</f>
        <v>Nombre de féminines :</v>
      </c>
      <c r="B7" s="11"/>
      <c r="C7" s="18" t="str">
        <f ca="1">[1]Stat.adhérents!C6</f>
        <v>6   soit</v>
      </c>
      <c r="D7" s="330">
        <f ca="1">[1]Stat.adhérents!D6</f>
        <v>0.10526315789473684</v>
      </c>
      <c r="E7" s="18" t="str">
        <f>[1]Stat.adhérents!E6</f>
        <v>dont:</v>
      </c>
      <c r="F7" s="18">
        <f ca="1">[1]Stat.adhérents!F6</f>
        <v>4</v>
      </c>
      <c r="G7" s="330" t="str">
        <f>[1]Stat.adhérents!G6</f>
        <v>jeune(s)</v>
      </c>
      <c r="I7" s="20" t="str">
        <f ca="1">[1]Stat.adhérents!$I$6</f>
        <v>Le ''benjamin'' a 9 ans et ''l'ainé'' 69 ans</v>
      </c>
      <c r="J7" s="296"/>
      <c r="K7" s="296"/>
      <c r="L7" s="296"/>
    </row>
    <row r="8" spans="1:12">
      <c r="C8" s="5"/>
      <c r="D8" s="329"/>
      <c r="E8" s="5"/>
      <c r="F8" s="5"/>
      <c r="G8" s="329"/>
    </row>
    <row r="9" spans="1:12">
      <c r="A9" s="21" t="str">
        <f>[1]Stat.adhérents!A8</f>
        <v>Ancienneté moyenne :</v>
      </c>
      <c r="B9" s="13"/>
      <c r="C9" s="22" t="str">
        <f ca="1">[1]Stat.adhérents!C8</f>
        <v>5,5 ans :</v>
      </c>
      <c r="D9" s="1187" t="str">
        <f ca="1">[1]Stat.adhérents!D8</f>
        <v>6,3 ans en tradi et 3,1 ans en loisir .</v>
      </c>
      <c r="E9" s="1187"/>
      <c r="F9" s="1187"/>
      <c r="G9" s="1156" t="str">
        <f ca="1">[1]Stat.adhérents!G8</f>
        <v>Il y a 19 nouveau(x) licencié(s),soit</v>
      </c>
      <c r="H9" s="11"/>
      <c r="I9" s="23"/>
      <c r="J9" s="1156">
        <f ca="1">[1]Stat.adhérents!$J$8</f>
        <v>0.33333333333333331</v>
      </c>
      <c r="K9" s="13"/>
    </row>
    <row r="10" spans="1:12">
      <c r="A10" s="24"/>
      <c r="B10" s="24">
        <f ca="1">[1]Stat.adhérents!B9</f>
        <v>0.38596491228070173</v>
      </c>
      <c r="C10" s="13" t="str">
        <f ca="1">[1]Stat.adhérents!C9</f>
        <v xml:space="preserve">des licenciés (22) sont depuis plus de 5 ans au club, et </v>
      </c>
      <c r="D10" s="25"/>
      <c r="E10" s="25"/>
      <c r="F10" s="13"/>
      <c r="G10" s="24"/>
      <c r="H10" s="24"/>
      <c r="I10" s="24"/>
      <c r="J10" s="24" t="str">
        <f ca="1">[1]Stat.adhérents!I9</f>
        <v>11% (6) depuis plus de 10 ans</v>
      </c>
      <c r="K10" s="13"/>
    </row>
    <row r="11" spans="1:12">
      <c r="A11" s="26" t="str">
        <f>[1]Stat.adhérents!A10</f>
        <v>TOP 3 : "FIDELITE"</v>
      </c>
      <c r="B11" s="27"/>
      <c r="C11" s="28" t="str">
        <f ca="1">[1]Stat.adhérents!C10</f>
        <v>Colombel Guy : 38 ans   ,   Boulaire Emile : 35 ans   ,   Baudais Luc : 23 ans</v>
      </c>
      <c r="D11" s="29"/>
      <c r="E11" s="13"/>
      <c r="F11" s="30"/>
      <c r="G11" s="13"/>
      <c r="H11" s="31"/>
      <c r="I11" s="13"/>
      <c r="J11" s="13"/>
      <c r="K11" s="13"/>
    </row>
    <row r="12" spans="1:12">
      <c r="B12" s="33"/>
      <c r="C12" s="34"/>
      <c r="D12" s="35"/>
      <c r="F12" s="36"/>
      <c r="H12" s="37"/>
    </row>
    <row r="13" spans="1:12">
      <c r="A13" s="38"/>
      <c r="B13" s="309"/>
      <c r="C13" s="1188" t="str">
        <f>[1]Stat.adhérents!C12</f>
        <v>Traditionnelle</v>
      </c>
      <c r="D13" s="1188"/>
      <c r="E13" s="1188" t="str">
        <f>[1]Stat.adhérents!E12</f>
        <v>Promo</v>
      </c>
      <c r="F13" s="1188"/>
      <c r="H13" s="39" t="str">
        <f>[1]Stat.adhérents!H12</f>
        <v>Ville</v>
      </c>
      <c r="I13" s="40" t="str">
        <f>[1]Stat.adhérents!I12</f>
        <v xml:space="preserve">Répartition </v>
      </c>
      <c r="J13" s="317"/>
    </row>
    <row r="14" spans="1:12">
      <c r="A14" s="41"/>
      <c r="B14" s="42" t="str">
        <f>[1]Stat.adhérents!B13</f>
        <v>Total</v>
      </c>
      <c r="C14" s="43" t="str">
        <f>[1]Stat.adhérents!C13</f>
        <v>Hommes</v>
      </c>
      <c r="D14" s="44" t="str">
        <f>[1]Stat.adhérents!D13</f>
        <v>Femmes</v>
      </c>
      <c r="E14" s="45" t="str">
        <f>[1]Stat.adhérents!E13</f>
        <v>Hommes</v>
      </c>
      <c r="F14" s="43" t="str">
        <f>[1]Stat.adhérents!F13</f>
        <v>Femmes</v>
      </c>
      <c r="H14" s="46" t="str">
        <f ca="1">[1]Stat.adhérents!H13</f>
        <v>Muzillac :</v>
      </c>
      <c r="I14" s="47">
        <f ca="1">[1]Stat.adhérents!I13</f>
        <v>23.001737070369231</v>
      </c>
      <c r="J14" s="328">
        <f ca="1">[1]Stat.adhérents!J13</f>
        <v>0.403539246848583</v>
      </c>
    </row>
    <row r="15" spans="1:12" ht="16.5">
      <c r="A15" s="48" t="str">
        <f>[1]Stat.adhérents!A14</f>
        <v>vétérans</v>
      </c>
      <c r="B15" s="49">
        <f ca="1">[1]Stat.adhérents!B14</f>
        <v>21</v>
      </c>
      <c r="C15" s="50">
        <f ca="1">[1]Stat.adhérents!C14</f>
        <v>15</v>
      </c>
      <c r="D15" s="51">
        <f ca="1">[1]Stat.adhérents!D14</f>
        <v>1</v>
      </c>
      <c r="E15" s="52">
        <f ca="1">[1]Stat.adhérents!E14</f>
        <v>4</v>
      </c>
      <c r="F15" s="50">
        <f ca="1">[1]Stat.adhérents!F14</f>
        <v>1</v>
      </c>
      <c r="H15" s="46" t="str">
        <f ca="1">[1]Stat.adhérents!H14</f>
        <v>Nivillac :</v>
      </c>
      <c r="I15" s="47">
        <f ca="1">[1]Stat.adhérents!I14</f>
        <v>6.0084739998883885</v>
      </c>
      <c r="J15" s="328">
        <f ca="1">[1]Stat.adhérents!J14</f>
        <v>0.1</v>
      </c>
    </row>
    <row r="16" spans="1:12" ht="16.5">
      <c r="A16" s="48" t="str">
        <f>[1]Stat.adhérents!A15</f>
        <v>séniors</v>
      </c>
      <c r="B16" s="49">
        <f ca="1">[1]Stat.adhérents!B15</f>
        <v>13</v>
      </c>
      <c r="C16" s="50">
        <f ca="1">[1]Stat.adhérents!C15</f>
        <v>11</v>
      </c>
      <c r="D16" s="51">
        <f ca="1">[1]Stat.adhérents!D15</f>
        <v>0</v>
      </c>
      <c r="E16" s="52">
        <f ca="1">[1]Stat.adhérents!E15</f>
        <v>2</v>
      </c>
      <c r="F16" s="50">
        <f ca="1">[1]Stat.adhérents!F15</f>
        <v>0</v>
      </c>
      <c r="H16" s="46" t="str">
        <f ca="1">[1]Stat.adhérents!H15</f>
        <v>Ambon :</v>
      </c>
      <c r="I16" s="47">
        <f ca="1">[1]Stat.adhérents!I15</f>
        <v>6.0045495249749523</v>
      </c>
      <c r="J16" s="328">
        <f ca="1">[1]Stat.adhérents!J15</f>
        <v>0.10534297412236758</v>
      </c>
    </row>
    <row r="17" spans="1:13" ht="16.5">
      <c r="A17" s="48" t="str">
        <f>[1]Stat.adhérents!A16</f>
        <v>juniors</v>
      </c>
      <c r="B17" s="49">
        <f ca="1">[1]Stat.adhérents!B16</f>
        <v>8</v>
      </c>
      <c r="C17" s="50">
        <f ca="1">[1]Stat.adhérents!C16</f>
        <v>6</v>
      </c>
      <c r="D17" s="51">
        <f ca="1">[1]Stat.adhérents!D16</f>
        <v>2</v>
      </c>
      <c r="E17" s="52">
        <f ca="1">[1]Stat.adhérents!E16</f>
        <v>0</v>
      </c>
      <c r="F17" s="50">
        <f ca="1">[1]Stat.adhérents!F16</f>
        <v>0</v>
      </c>
      <c r="H17" s="46" t="str">
        <f ca="1">[1]Stat.adhérents!H16</f>
        <v>Le Guerno :</v>
      </c>
      <c r="I17" s="47">
        <f ca="1">[1]Stat.adhérents!I16</f>
        <v>6.0018902222942723</v>
      </c>
      <c r="J17" s="328">
        <f ca="1">[1]Stat.adhérents!J16</f>
        <v>0.1052963196893732</v>
      </c>
    </row>
    <row r="18" spans="1:13" ht="16.5">
      <c r="A18" s="53" t="str">
        <f>[1]Stat.adhérents!A17</f>
        <v>cadets</v>
      </c>
      <c r="B18" s="310">
        <f ca="1">[1]Stat.adhérents!B17</f>
        <v>5</v>
      </c>
      <c r="C18" s="43">
        <f ca="1">[1]Stat.adhérents!C17</f>
        <v>2</v>
      </c>
      <c r="D18" s="44">
        <f ca="1">[1]Stat.adhérents!D17</f>
        <v>1</v>
      </c>
      <c r="E18" s="45">
        <f ca="1">[1]Stat.adhérents!E17</f>
        <v>2</v>
      </c>
      <c r="F18" s="43">
        <f ca="1">[1]Stat.adhérents!F17</f>
        <v>0</v>
      </c>
      <c r="H18" s="55" t="str">
        <f>[1]Stat.adhérents!H17</f>
        <v>Autres :</v>
      </c>
      <c r="I18" s="56">
        <f ca="1">[1]Stat.adhérents!I17</f>
        <v>15.983349182473155</v>
      </c>
      <c r="J18" s="327">
        <f ca="1">[1]Stat.adhérents!J17</f>
        <v>0.28040963478023079</v>
      </c>
    </row>
    <row r="19" spans="1:13" ht="16.5">
      <c r="A19" s="53" t="str">
        <f>[1]Stat.adhérents!A18</f>
        <v>minimes</v>
      </c>
      <c r="B19" s="310">
        <f ca="1">[1]Stat.adhérents!B18</f>
        <v>7</v>
      </c>
      <c r="C19" s="43">
        <f ca="1">[1]Stat.adhérents!C18</f>
        <v>4</v>
      </c>
      <c r="D19" s="44">
        <f ca="1">[1]Stat.adhérents!D18</f>
        <v>0</v>
      </c>
      <c r="E19" s="45">
        <f ca="1">[1]Stat.adhérents!E18</f>
        <v>3</v>
      </c>
      <c r="F19" s="43">
        <f ca="1">[1]Stat.adhérents!F18</f>
        <v>0</v>
      </c>
    </row>
    <row r="20" spans="1:13" ht="16.5">
      <c r="A20" s="53" t="str">
        <f>[1]Stat.adhérents!A19</f>
        <v>benjamins</v>
      </c>
      <c r="B20" s="310">
        <f ca="1">[1]Stat.adhérents!B19</f>
        <v>3</v>
      </c>
      <c r="C20" s="43">
        <f ca="1">[1]Stat.adhérents!C19</f>
        <v>0</v>
      </c>
      <c r="D20" s="44">
        <f ca="1">[1]Stat.adhérents!D19</f>
        <v>0</v>
      </c>
      <c r="E20" s="52">
        <f ca="1">[1]Stat.adhérents!E19</f>
        <v>2</v>
      </c>
      <c r="F20" s="43">
        <f ca="1">[1]Stat.adhérents!F19</f>
        <v>1</v>
      </c>
      <c r="H20" s="1" t="str">
        <f>[1]Stat.adhérents!$G$11</f>
        <v>33 familles constituent les 58 adhérents</v>
      </c>
    </row>
    <row r="21" spans="1:13" ht="16.5">
      <c r="A21" s="53" t="str">
        <f>[1]Stat.adhérents!A20</f>
        <v>poussins</v>
      </c>
      <c r="B21" s="310">
        <f ca="1">[1]Stat.adhérents!B20</f>
        <v>0</v>
      </c>
      <c r="C21" s="43">
        <f ca="1">[1]Stat.adhérents!C20</f>
        <v>0</v>
      </c>
      <c r="D21" s="44">
        <f ca="1">[1]Stat.adhérents!D20</f>
        <v>0</v>
      </c>
      <c r="E21" s="52">
        <f ca="1">[1]Stat.adhérents!E20</f>
        <v>0</v>
      </c>
      <c r="F21" s="43">
        <f ca="1">[1]Stat.adhérents!F20</f>
        <v>0</v>
      </c>
      <c r="H21" s="32" t="str">
        <f>[1]Stat.adhérents!$A$11</f>
        <v>Plus de 330 personnes ont été adhérentes sur les 13 dernières années.</v>
      </c>
    </row>
    <row r="22" spans="1:13">
      <c r="A22" s="59"/>
      <c r="B22" s="60"/>
      <c r="C22" s="310">
        <f ca="1">[1]Stat.adhérents!C21</f>
        <v>38</v>
      </c>
      <c r="D22" s="61">
        <f ca="1">[1]Stat.adhérents!D21</f>
        <v>4</v>
      </c>
      <c r="E22" s="62">
        <f ca="1">[1]Stat.adhérents!E21</f>
        <v>13</v>
      </c>
      <c r="F22" s="310">
        <f ca="1">[1]Stat.adhérents!F21</f>
        <v>2</v>
      </c>
    </row>
    <row r="23" spans="1:13">
      <c r="A23" s="59"/>
      <c r="B23" s="60"/>
      <c r="C23" s="324">
        <f ca="1">[1]Stat.adhérents!C22</f>
        <v>0.90476190476190477</v>
      </c>
      <c r="D23" s="326">
        <f ca="1">[1]Stat.adhérents!D22</f>
        <v>9.5238095238095233E-2</v>
      </c>
      <c r="E23" s="325">
        <f ca="1">[1]Stat.adhérents!E22</f>
        <v>0.8666666666666667</v>
      </c>
      <c r="F23" s="324">
        <f ca="1">[1]Stat.adhérents!F22</f>
        <v>0.13333333333333333</v>
      </c>
    </row>
    <row r="24" spans="1:13" ht="45" customHeight="1"/>
    <row r="25" spans="1:13" ht="20.25">
      <c r="A25" s="67" t="s">
        <v>12</v>
      </c>
      <c r="B25"/>
      <c r="H25" s="67" t="s">
        <v>13</v>
      </c>
    </row>
    <row r="26" spans="1:13">
      <c r="A26" s="59"/>
      <c r="B26" s="59"/>
      <c r="C26" s="59"/>
      <c r="D26" s="59"/>
      <c r="E26" s="59"/>
      <c r="F26" s="59"/>
      <c r="G26" s="59"/>
      <c r="H26" s="59" t="s">
        <v>416</v>
      </c>
      <c r="I26" s="59"/>
      <c r="J26" s="59"/>
      <c r="K26" s="59"/>
      <c r="L26" s="59"/>
      <c r="M26" s="59"/>
    </row>
    <row r="27" spans="1:13">
      <c r="A27" s="153" t="s">
        <v>415</v>
      </c>
      <c r="B27" s="59"/>
      <c r="C27" s="59"/>
      <c r="D27" s="59"/>
      <c r="E27" s="59"/>
      <c r="F27" s="59"/>
      <c r="G27" s="59"/>
      <c r="H27" s="68" t="s">
        <v>183</v>
      </c>
      <c r="I27" s="59"/>
      <c r="J27" s="59"/>
      <c r="K27" s="59"/>
      <c r="L27" s="59"/>
      <c r="M27" s="59"/>
    </row>
    <row r="28" spans="1:13">
      <c r="A28" s="323"/>
      <c r="B28" s="59"/>
      <c r="C28" s="59"/>
      <c r="D28" s="59"/>
      <c r="E28" s="59"/>
      <c r="F28" s="59"/>
      <c r="G28" s="59"/>
      <c r="H28" s="322" t="s">
        <v>414</v>
      </c>
      <c r="I28" s="59"/>
      <c r="J28" s="59"/>
      <c r="K28" s="59"/>
      <c r="L28" s="59"/>
      <c r="M28" s="59"/>
    </row>
    <row r="29" spans="1:13">
      <c r="A29" s="153" t="s">
        <v>413</v>
      </c>
      <c r="B29" s="59"/>
      <c r="C29" s="59"/>
      <c r="D29" s="59"/>
      <c r="E29" s="59"/>
      <c r="F29" s="59"/>
      <c r="G29" s="59"/>
      <c r="H29" s="68" t="s">
        <v>14</v>
      </c>
      <c r="I29" s="59"/>
      <c r="J29" s="59"/>
      <c r="K29" s="59"/>
      <c r="L29" s="59"/>
      <c r="M29" s="59"/>
    </row>
    <row r="30" spans="1:13">
      <c r="A30" s="321" t="s">
        <v>412</v>
      </c>
      <c r="B30" s="59"/>
      <c r="C30" s="60"/>
      <c r="D30" s="59"/>
      <c r="E30" s="59"/>
      <c r="F30" s="59"/>
      <c r="G30" s="59"/>
      <c r="H30" s="68" t="s">
        <v>411</v>
      </c>
      <c r="I30" s="59"/>
      <c r="J30" s="59"/>
      <c r="K30" s="59"/>
      <c r="L30" s="59"/>
      <c r="M30" s="59"/>
    </row>
    <row r="31" spans="1:13">
      <c r="A31" s="59" t="s">
        <v>410</v>
      </c>
      <c r="B31" s="59"/>
      <c r="C31" s="317"/>
      <c r="D31" s="59"/>
      <c r="E31" s="59"/>
      <c r="F31" s="59"/>
      <c r="G31" s="59"/>
      <c r="H31" s="320" t="s">
        <v>409</v>
      </c>
      <c r="I31" s="59"/>
      <c r="J31" s="59"/>
      <c r="K31" s="59"/>
      <c r="L31" s="59"/>
      <c r="M31" s="59"/>
    </row>
    <row r="32" spans="1:13">
      <c r="A32" s="154" t="s">
        <v>408</v>
      </c>
      <c r="B32" s="59"/>
      <c r="C32" s="59"/>
      <c r="D32" s="59"/>
      <c r="E32" s="59"/>
      <c r="F32" s="59"/>
      <c r="G32" s="59"/>
      <c r="H32" s="59" t="s">
        <v>407</v>
      </c>
      <c r="I32" s="59"/>
      <c r="J32" s="59"/>
      <c r="K32" s="59"/>
      <c r="L32" s="59"/>
      <c r="M32" s="59"/>
    </row>
    <row r="33" spans="1:13">
      <c r="A33" s="153" t="s">
        <v>406</v>
      </c>
      <c r="B33" s="59"/>
      <c r="C33" s="59"/>
      <c r="D33" s="59"/>
      <c r="E33" s="59"/>
      <c r="F33" s="59"/>
      <c r="G33" s="59"/>
      <c r="H33" s="59" t="s">
        <v>405</v>
      </c>
      <c r="I33" s="59"/>
      <c r="J33" s="59"/>
      <c r="K33" s="59"/>
      <c r="L33" s="59"/>
      <c r="M33" s="59"/>
    </row>
    <row r="34" spans="1:13">
      <c r="A34" s="59"/>
      <c r="B34" s="59"/>
      <c r="C34" s="59"/>
      <c r="D34" s="59"/>
      <c r="E34" s="59"/>
      <c r="F34" s="59"/>
      <c r="G34" s="59"/>
      <c r="H34" s="319" t="s">
        <v>404</v>
      </c>
      <c r="I34" s="59"/>
      <c r="J34" s="59"/>
      <c r="K34" s="59"/>
      <c r="L34" s="59"/>
      <c r="M34" s="59"/>
    </row>
    <row r="35" spans="1:13">
      <c r="A35" s="153"/>
      <c r="B35" s="59"/>
      <c r="C35" s="59"/>
      <c r="D35" s="59"/>
      <c r="E35" s="59"/>
      <c r="F35" s="59"/>
      <c r="G35" s="59"/>
      <c r="I35" s="59"/>
      <c r="J35" s="59"/>
      <c r="K35" s="59"/>
      <c r="L35" s="59"/>
      <c r="M35" s="59"/>
    </row>
    <row r="36" spans="1:13">
      <c r="A36" s="155"/>
      <c r="B36" s="59"/>
      <c r="C36" s="59"/>
      <c r="D36" s="59"/>
      <c r="E36" s="59"/>
      <c r="F36" s="59"/>
      <c r="G36" s="59"/>
      <c r="H36" s="318"/>
      <c r="I36" s="59"/>
      <c r="J36" s="59"/>
      <c r="K36" s="59"/>
      <c r="L36" s="59"/>
      <c r="M36" s="59"/>
    </row>
    <row r="37" spans="1:13">
      <c r="A37" s="155"/>
      <c r="B37" s="59"/>
      <c r="C37" s="59"/>
      <c r="D37" s="59"/>
      <c r="E37" s="59"/>
      <c r="F37" s="59"/>
      <c r="G37" s="59"/>
      <c r="I37" s="59"/>
      <c r="J37" s="59"/>
      <c r="K37" s="59"/>
      <c r="L37" s="59"/>
      <c r="M37" s="59"/>
    </row>
    <row r="38" spans="1:13">
      <c r="A38" s="155"/>
      <c r="B38" s="59"/>
      <c r="C38" s="59"/>
      <c r="D38" s="59"/>
      <c r="E38" s="59"/>
      <c r="F38" s="59"/>
      <c r="G38" s="59"/>
      <c r="H38" s="59"/>
      <c r="I38" s="59"/>
      <c r="J38" s="59"/>
      <c r="K38" s="59"/>
      <c r="L38" s="59"/>
      <c r="M38" s="59"/>
    </row>
    <row r="39" spans="1:13">
      <c r="F39" s="69"/>
    </row>
  </sheetData>
  <mergeCells count="4">
    <mergeCell ref="H2:I2"/>
    <mergeCell ref="D9:F9"/>
    <mergeCell ref="C13:D13"/>
    <mergeCell ref="E13:F13"/>
  </mergeCells>
  <conditionalFormatting sqref="H14:H18">
    <cfRule type="cellIs" dxfId="248" priority="1" stopIfTrue="1" operator="equal">
      <formula>""</formula>
    </cfRule>
  </conditionalFormatting>
  <pageMargins left="0.57986111111111116" right="0.4201388888888889" top="0.27013888888888887" bottom="0.20972222222222223" header="0.38" footer="0.51180555555555562"/>
  <pageSetup paperSize="9" scale="102" firstPageNumber="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Q167"/>
  <sheetViews>
    <sheetView tabSelected="1" view="pageBreakPreview" topLeftCell="A23" zoomScale="60" zoomScaleNormal="84" workbookViewId="0">
      <selection activeCell="BK38" sqref="BK38"/>
    </sheetView>
  </sheetViews>
  <sheetFormatPr baseColWidth="10" defaultRowHeight="15"/>
  <cols>
    <col min="1" max="1" width="21.85546875" style="769" customWidth="1"/>
    <col min="2" max="2" width="6.28515625" style="1412" customWidth="1"/>
    <col min="3" max="3" width="2.5703125" style="1411" hidden="1" customWidth="1"/>
    <col min="4" max="4" width="2.42578125" style="1411" hidden="1" customWidth="1"/>
    <col min="5" max="6" width="2.5703125" style="1411" hidden="1" customWidth="1"/>
    <col min="7" max="7" width="2.7109375" style="1411" hidden="1" customWidth="1"/>
    <col min="8" max="8" width="2.5703125" style="1411" hidden="1" customWidth="1"/>
    <col min="9" max="9" width="2.7109375" style="1411" hidden="1" customWidth="1"/>
    <col min="10" max="10" width="2.7109375" style="1410" hidden="1" customWidth="1"/>
    <col min="11" max="11" width="3.28515625" style="1410" hidden="1" customWidth="1"/>
    <col min="12" max="15" width="2.5703125" style="1410" hidden="1" customWidth="1"/>
    <col min="16" max="16" width="2.85546875" style="1410" hidden="1" customWidth="1"/>
    <col min="17" max="17" width="3" style="1411" hidden="1" customWidth="1"/>
    <col min="18" max="18" width="2.7109375" style="1411" hidden="1" customWidth="1"/>
    <col min="19" max="21" width="2.7109375" style="1410" hidden="1" customWidth="1"/>
    <col min="22" max="22" width="2.7109375" style="1411" hidden="1" customWidth="1"/>
    <col min="23" max="23" width="3" style="1411" hidden="1" customWidth="1"/>
    <col min="24" max="29" width="2.5703125" style="1410" hidden="1" customWidth="1"/>
    <col min="30" max="30" width="3.85546875" style="1410" hidden="1" customWidth="1"/>
    <col min="31" max="31" width="6.42578125" style="1410" customWidth="1"/>
    <col min="32" max="33" width="5.28515625" style="1410" customWidth="1"/>
    <col min="34" max="34" width="9.7109375" style="1409" customWidth="1"/>
    <col min="35" max="36" width="5.28515625" customWidth="1"/>
    <col min="37" max="37" width="6.85546875" style="1408" customWidth="1"/>
    <col min="38" max="38" width="7" customWidth="1"/>
    <col min="39" max="39" width="6.28515625" customWidth="1"/>
    <col min="40" max="40" width="6.85546875" style="1408" customWidth="1"/>
    <col min="41" max="44" width="5.5703125" style="1407" hidden="1" customWidth="1"/>
    <col min="45" max="45" width="12.5703125" style="1407" hidden="1" customWidth="1"/>
    <col min="46" max="49" width="5.5703125" style="1407" hidden="1" customWidth="1"/>
    <col min="50" max="50" width="18.28515625" style="1402" hidden="1" customWidth="1"/>
    <col min="51" max="51" width="9.7109375" style="1589" customWidth="1"/>
    <col min="52" max="52" width="9.7109375" style="1583" customWidth="1"/>
    <col min="53" max="53" width="3.140625" style="1402" hidden="1" customWidth="1"/>
    <col min="54" max="54" width="4.5703125" style="1402" customWidth="1"/>
    <col min="55" max="55" width="20.42578125" style="1402" customWidth="1"/>
    <col min="56" max="57" width="4.7109375" style="1402" customWidth="1"/>
    <col min="58" max="60" width="3.7109375" style="1402" customWidth="1"/>
    <col min="61" max="61" width="5" style="1402" customWidth="1"/>
    <col min="62" max="62" width="4.85546875" style="1402" customWidth="1"/>
    <col min="63" max="63" width="15.28515625" customWidth="1"/>
    <col min="64" max="64" width="5.28515625" style="156" customWidth="1"/>
    <col min="65" max="65" width="19.28515625" customWidth="1"/>
    <col min="66" max="66" width="4.85546875" customWidth="1"/>
    <col min="67" max="67" width="4.5703125" customWidth="1"/>
    <col min="68" max="68" width="4.85546875" customWidth="1"/>
    <col min="69" max="70" width="3.7109375" customWidth="1"/>
    <col min="71" max="71" width="5.28515625" customWidth="1"/>
    <col min="72" max="72" width="4.85546875" customWidth="1"/>
    <col min="73" max="73" width="5" customWidth="1"/>
    <col min="74" max="74" width="26.140625" customWidth="1"/>
    <col min="75" max="75" width="8.28515625" style="156" customWidth="1"/>
    <col min="76" max="76" width="33.140625" customWidth="1"/>
    <col min="77" max="77" width="6.28515625" customWidth="1"/>
    <col min="78" max="89" width="3" customWidth="1"/>
    <col min="90" max="90" width="3.5703125" customWidth="1"/>
    <col min="91" max="91" width="3.7109375" customWidth="1"/>
    <col min="92" max="92" width="4" customWidth="1"/>
    <col min="93" max="93" width="4.140625" customWidth="1"/>
    <col min="94" max="94" width="4" customWidth="1"/>
    <col min="95" max="95" width="2" style="1406" customWidth="1"/>
    <col min="96" max="96" width="2.28515625" style="81" customWidth="1"/>
    <col min="97" max="99" width="2" style="81" customWidth="1"/>
    <col min="100" max="100" width="2.28515625" style="81" customWidth="1"/>
    <col min="101" max="108" width="2.42578125" style="81" customWidth="1"/>
    <col min="109" max="109" width="5.7109375" style="1403" customWidth="1"/>
    <col min="110" max="110" width="4.28515625" style="1405" customWidth="1"/>
    <col min="111" max="111" width="5.7109375" style="1403" customWidth="1"/>
    <col min="112" max="112" width="6" style="1404" customWidth="1"/>
    <col min="113" max="113" width="2.42578125" style="1403" customWidth="1"/>
    <col min="114" max="116" width="11.42578125" style="86" customWidth="1"/>
    <col min="117" max="117" width="4" customWidth="1"/>
    <col min="118" max="118" width="3.140625" style="1402" customWidth="1"/>
    <col min="119" max="119" width="11.42578125" style="554" customWidth="1"/>
    <col min="120" max="120" width="8.140625" style="554" customWidth="1"/>
    <col min="121" max="121" width="12" style="1401" customWidth="1"/>
    <col min="122" max="122" width="12" style="1400" customWidth="1"/>
    <col min="123" max="123" width="8.7109375" customWidth="1"/>
    <col min="124" max="124" width="40.85546875" customWidth="1"/>
    <col min="125" max="129" width="8.7109375" customWidth="1"/>
  </cols>
  <sheetData>
    <row r="1" spans="1:131" ht="93" customHeight="1">
      <c r="A1" s="1577"/>
      <c r="B1" s="1576" t="s">
        <v>813</v>
      </c>
      <c r="C1" s="1547" t="str">
        <f>IF(AND(C2="",C3="",C4="",C5="",C6="",C7="",C8="",C9="",C10=""),"","équipe J1")</f>
        <v>équipe J1</v>
      </c>
      <c r="D1" s="1547" t="str">
        <f>IF(AND(D2="",D3="",D4="",D5="",D6="",D7="",D8="",D9="",D10=""),"","équipe J2")</f>
        <v>équipe J2</v>
      </c>
      <c r="E1" s="1547" t="str">
        <f>IF(AND(E2="",E3="",E4="",E5="",E6="",E7="",E8="",E9="",E10=""),"","équipe J3")</f>
        <v>équipe J3</v>
      </c>
      <c r="F1" s="1547" t="str">
        <f>IF(AND(F2="",F3="",F4="",F5="",F6="",F7="",F8="",F9="",F10=""),"","équipe J4")</f>
        <v>équipe J4</v>
      </c>
      <c r="G1" s="1547" t="str">
        <f>IF(AND(G2="",G3="",G4="",G5="",G6="",G7="",G8="",G9="",G10=""),"","équipe J5")</f>
        <v>équipe J5</v>
      </c>
      <c r="H1" s="1547" t="str">
        <f>IF(AND(H2="",H3="",H4="",H5="",H6="",H7="",H8="",H9="",H10=""),"","équipe J6")</f>
        <v>équipe J6</v>
      </c>
      <c r="I1" s="1575" t="str">
        <f>IF(AND(I2="",I3="",I4="",I5="",I6="",I7="",I8="",I9="",I10=""),"","équipe J7")</f>
        <v>équipe J7</v>
      </c>
      <c r="J1" s="1574" t="str">
        <f>IF(AND(J2="",J3="",J4="",J5="",J6="",J7="",J8="",J9="",J10=""),"","équipe J8")</f>
        <v>équipe J8</v>
      </c>
      <c r="K1" s="1547" t="str">
        <f>IF(AND(K2="",K3="",K4="",K5="",K6="",K7="",K8="",K9="",K10=""),"","équipe J9")</f>
        <v>équipe J9</v>
      </c>
      <c r="L1" s="1547" t="str">
        <f>IF(AND(L2="",L3="",L4="",L5="",L6="",L7="",L8="",L9="",L10=""),"","équipe J10")</f>
        <v>équipe J10</v>
      </c>
      <c r="M1" s="1547" t="str">
        <f>IF(AND(M2="",M3="",M4="",M5="",M6="",M7="",M8="",M9="",M10=""),"","équipe J11")</f>
        <v>équipe J11</v>
      </c>
      <c r="N1" s="1547" t="str">
        <f>IF(AND(N2="",N3="",N4="",N5="",N6="",N7="",N8="",N9="",N10=""),"","équipe J12")</f>
        <v>équipe J12</v>
      </c>
      <c r="O1" s="1547" t="str">
        <f>IF(AND(O2="",O3="",O4="",O5="",O6="",O7="",O8="",O9="",O10=""),"","équipe J13")</f>
        <v>équipe J13</v>
      </c>
      <c r="P1" s="1573" t="str">
        <f>IF(AND(P2="",P3="",P4="",P5="",P6="",P7="",P8="",P9="",P10=""),"","équipe J14")</f>
        <v>équipe J14</v>
      </c>
      <c r="Q1" s="1571" t="str">
        <f>IF(C1="","","Vict.J1")</f>
        <v>Vict.J1</v>
      </c>
      <c r="R1" s="1570" t="str">
        <f>IF(D1="","","Vict.J2")</f>
        <v>Vict.J2</v>
      </c>
      <c r="S1" s="1570" t="str">
        <f>IF(E1="","","Vict.J3")</f>
        <v>Vict.J3</v>
      </c>
      <c r="T1" s="1570" t="str">
        <f>IF(F1="","","Vict.J4")</f>
        <v>Vict.J4</v>
      </c>
      <c r="U1" s="1570" t="str">
        <f>IF(G1="","","Vict.J5")</f>
        <v>Vict.J5</v>
      </c>
      <c r="V1" s="1570" t="str">
        <f>IF(H1="","","Vict.J6")</f>
        <v>Vict.J6</v>
      </c>
      <c r="W1" s="1572" t="str">
        <f>IF(I1="","","Vict.J7")</f>
        <v>Vict.J7</v>
      </c>
      <c r="X1" s="1571" t="str">
        <f>IF(J1="","","Vict.J8")</f>
        <v>Vict.J8</v>
      </c>
      <c r="Y1" s="1570" t="str">
        <f>IF(K1="","","Vict.J9")</f>
        <v>Vict.J9</v>
      </c>
      <c r="Z1" s="1570" t="str">
        <f>IF(L1="","","Vict.J10")</f>
        <v>Vict.J10</v>
      </c>
      <c r="AA1" s="1570" t="str">
        <f>IF(M1="","","Vict.J11")</f>
        <v>Vict.J11</v>
      </c>
      <c r="AB1" s="1570" t="str">
        <f>IF(N1="","","Vict.J12")</f>
        <v>Vict.J12</v>
      </c>
      <c r="AC1" s="1570" t="str">
        <f>IF(O1="","","Vict.J13")</f>
        <v>Vict.J13</v>
      </c>
      <c r="AD1" s="1570" t="str">
        <f>IF(P1="","","Vict.J14")</f>
        <v>Vict.J14</v>
      </c>
      <c r="AE1" s="1569" t="s">
        <v>812</v>
      </c>
      <c r="AF1" s="1568" t="s">
        <v>811</v>
      </c>
      <c r="AG1" s="1568" t="s">
        <v>810</v>
      </c>
      <c r="AH1" s="1567" t="s">
        <v>809</v>
      </c>
      <c r="AI1" s="1566" t="s">
        <v>808</v>
      </c>
      <c r="AJ1" s="1566" t="s">
        <v>807</v>
      </c>
      <c r="AK1" s="1566" t="s">
        <v>806</v>
      </c>
      <c r="AL1" s="1565" t="s">
        <v>805</v>
      </c>
      <c r="AM1" s="1565" t="s">
        <v>804</v>
      </c>
      <c r="AN1" s="1564" t="s">
        <v>803</v>
      </c>
      <c r="AO1" s="1563" t="s">
        <v>802</v>
      </c>
      <c r="AP1" s="1563"/>
      <c r="AQ1" s="1563"/>
      <c r="AR1" s="1563"/>
      <c r="AS1" s="1563"/>
      <c r="AT1" s="1563"/>
      <c r="AU1" s="1563"/>
      <c r="AV1" s="1563"/>
      <c r="AW1" s="1563"/>
      <c r="AX1" s="1562"/>
      <c r="AY1" s="1578" t="s">
        <v>801</v>
      </c>
      <c r="AZ1" s="1579"/>
      <c r="BA1" s="1561">
        <f>BD1</f>
        <v>14</v>
      </c>
      <c r="BC1" s="1598" t="s">
        <v>800</v>
      </c>
      <c r="BD1" s="1599">
        <v>14</v>
      </c>
      <c r="BE1" s="1560"/>
      <c r="BG1" s="1559"/>
      <c r="BH1" s="1558" t="s">
        <v>799</v>
      </c>
      <c r="BI1" s="1556"/>
      <c r="BJ1" s="1556"/>
      <c r="BK1" s="1555"/>
      <c r="BL1" s="1415"/>
      <c r="BM1" s="1415"/>
      <c r="BN1" s="1557" t="str">
        <f>[10]Sommaire!F2</f>
        <v>2014 / 2015</v>
      </c>
      <c r="BP1" s="1556"/>
      <c r="BQ1" s="1556"/>
      <c r="BR1" s="1556"/>
      <c r="BS1" s="1556"/>
      <c r="BT1" s="1556"/>
      <c r="BU1" s="1555"/>
      <c r="BV1" s="554"/>
      <c r="BW1" s="1415"/>
      <c r="BX1" s="1415"/>
      <c r="BY1" s="1554" t="s">
        <v>798</v>
      </c>
      <c r="CA1" s="1554" t="s">
        <v>797</v>
      </c>
      <c r="CC1" s="1554" t="s">
        <v>796</v>
      </c>
      <c r="CE1" s="1554" t="s">
        <v>795</v>
      </c>
      <c r="CG1" s="1554" t="s">
        <v>794</v>
      </c>
      <c r="CI1" s="1554" t="s">
        <v>793</v>
      </c>
      <c r="CK1" s="1554" t="s">
        <v>792</v>
      </c>
      <c r="CM1" s="1554" t="s">
        <v>791</v>
      </c>
      <c r="CO1" s="1550" t="s">
        <v>790</v>
      </c>
      <c r="CP1" s="554"/>
      <c r="CQ1" s="1553" t="s">
        <v>789</v>
      </c>
      <c r="CR1" s="1552"/>
      <c r="CS1" s="1552"/>
      <c r="CT1" s="1552"/>
      <c r="CU1" s="1552"/>
      <c r="CV1" s="1552"/>
      <c r="CW1" s="1552"/>
      <c r="CX1" s="1552"/>
      <c r="CY1" s="1552"/>
      <c r="CZ1" s="1552"/>
      <c r="DA1" s="1552"/>
      <c r="DB1" s="1552"/>
      <c r="DC1" s="1552"/>
      <c r="DD1" s="1551"/>
      <c r="DE1" s="1549" t="s">
        <v>788</v>
      </c>
      <c r="DF1" s="1550" t="s">
        <v>787</v>
      </c>
      <c r="DG1" s="1549" t="s">
        <v>786</v>
      </c>
      <c r="DH1" s="1548" t="s">
        <v>785</v>
      </c>
      <c r="DM1" s="1547" t="str">
        <f>VLOOKUP(B1,B1:P1,BA1+1,FALSE)</f>
        <v>équipe J14</v>
      </c>
      <c r="DN1" s="1547" t="str">
        <f>VLOOKUP(B1,B1:AD1,BA1+15,FALSE)</f>
        <v>Vict.J14</v>
      </c>
      <c r="DO1" s="554">
        <f ca="1">IF(MONTH(TODAY())=9,1,MATCH(TODAY(),[10]cal.Ph1!G79:G92,1))</f>
        <v>14</v>
      </c>
      <c r="DP1" s="1546" t="e">
        <f ca="1">SMALL([10]cal.Ph1!G79:G92,('résultats (2)'!DO1)+1)</f>
        <v>#NUM!</v>
      </c>
      <c r="DQ1" s="1546">
        <f ca="1">SMALL([10]cal.Ph1!G79:G92,('résultats (2)'!DO1))</f>
        <v>42104</v>
      </c>
      <c r="DR1" s="1400" t="s">
        <v>784</v>
      </c>
      <c r="DT1" s="1545" t="s">
        <v>783</v>
      </c>
      <c r="DU1" s="299"/>
      <c r="DV1" s="299"/>
      <c r="DW1" s="299"/>
      <c r="DX1" s="299"/>
      <c r="DY1" s="299"/>
      <c r="DZ1" s="299"/>
      <c r="EA1" s="299"/>
    </row>
    <row r="2" spans="1:131" ht="21.95" customHeight="1">
      <c r="A2" s="1544" t="str">
        <f>[10]points!B17</f>
        <v>Beyl Yann</v>
      </c>
      <c r="B2" s="1476">
        <v>1</v>
      </c>
      <c r="C2" s="1428">
        <v>1</v>
      </c>
      <c r="D2" s="1428">
        <v>1</v>
      </c>
      <c r="E2" s="1428">
        <v>1</v>
      </c>
      <c r="F2" s="1428"/>
      <c r="G2" s="1428">
        <v>1</v>
      </c>
      <c r="H2" s="1428">
        <v>1</v>
      </c>
      <c r="I2" s="1543">
        <v>1</v>
      </c>
      <c r="J2" s="1428"/>
      <c r="K2" s="1428"/>
      <c r="L2" s="1428">
        <v>1</v>
      </c>
      <c r="M2" s="1428">
        <v>1</v>
      </c>
      <c r="N2" s="1428">
        <v>1</v>
      </c>
      <c r="O2" s="1428">
        <v>1</v>
      </c>
      <c r="P2" s="1474"/>
      <c r="Q2" s="1472">
        <v>2</v>
      </c>
      <c r="R2" s="1471">
        <v>2</v>
      </c>
      <c r="S2" s="1471">
        <v>2</v>
      </c>
      <c r="T2" s="1471"/>
      <c r="U2" s="1471">
        <v>3</v>
      </c>
      <c r="V2" s="1471">
        <v>3</v>
      </c>
      <c r="W2" s="1473">
        <v>2</v>
      </c>
      <c r="X2" s="1472"/>
      <c r="Y2" s="1471"/>
      <c r="Z2" s="1471">
        <v>2</v>
      </c>
      <c r="AA2" s="1471">
        <v>2</v>
      </c>
      <c r="AB2" s="1471">
        <v>1</v>
      </c>
      <c r="AC2" s="1471">
        <v>3</v>
      </c>
      <c r="AD2" s="1471"/>
      <c r="AE2" s="1458">
        <f>IF(B2="","",COUNTIF(C2:P2,"&gt;0"))</f>
        <v>10</v>
      </c>
      <c r="AF2" s="1470">
        <f>SUM(Q2:W2)</f>
        <v>14</v>
      </c>
      <c r="AG2" s="1470">
        <f>SUM(CQ2:CW2)</f>
        <v>18</v>
      </c>
      <c r="AH2" s="1469">
        <f ca="1">IF(AG2=0,"X",IF(AG2&lt;LARGE(AG$2:AG$70,1)/3,"NS",RAND()*0.00001+AF2/AG2))</f>
        <v>0.77778107343368585</v>
      </c>
      <c r="AI2" s="1470">
        <f>SUM(X2:AD2)</f>
        <v>8</v>
      </c>
      <c r="AJ2" s="1470">
        <f>SUM(CX2:DD2)</f>
        <v>12</v>
      </c>
      <c r="AK2" s="1469">
        <f ca="1">IF(AJ2=0,"X",IF(AJ2&lt;LARGE(AJ$2:AJ$70,1)/4,"NS",RAND()*0.00001+AI2/AJ2))</f>
        <v>0.66667290672466595</v>
      </c>
      <c r="AL2" s="1470">
        <f>SUM(Q2:AD2)</f>
        <v>22</v>
      </c>
      <c r="AM2" s="1470">
        <f>SUM(CQ2:DD2)</f>
        <v>30</v>
      </c>
      <c r="AN2" s="1469">
        <f ca="1">IF(AM2=0,"X",IF(AM2&lt;LARGE(AM$2:AM$70,1)/3,"NS",RAND()*0.00001+AL2/AM2))</f>
        <v>0.73333792748880489</v>
      </c>
      <c r="AO2" s="1437">
        <f ca="1">IF(B2="",10,B2+RAND()*0.01)</f>
        <v>1.0051661646297039</v>
      </c>
      <c r="AP2" s="1437" t="str">
        <f ca="1">IF(AND(C2="",J2=""),"e",IF(J2="",IF($BD$1&lt;=7,C2+RAND()*0.01,"e"),J2+RAND()*0.01))</f>
        <v>e</v>
      </c>
      <c r="AQ2" s="1437" t="str">
        <f ca="1">IF(AND(D2="",K2=""),"e",IF(K2="",IF($BD$1&lt;=7,D2+RAND()*0.01,"e"),K2+RAND()*0.01))</f>
        <v>e</v>
      </c>
      <c r="AR2" s="1437">
        <f ca="1">IF(AND(E2="",L2=""),"e",IF(L2="",IF($BD$1&lt;=7,E2+RAND()*0.01,"e"),L2+RAND()*0.01))</f>
        <v>1.0089854293491325</v>
      </c>
      <c r="AS2" s="1437">
        <f ca="1">IF(AND(F2="",M2=""),"e",IF(M2="",IF($BD$1&lt;=7,F2+RAND()*0.01,"e"),M2+RAND()*0.01))</f>
        <v>1.007214394220445</v>
      </c>
      <c r="AT2" s="1437">
        <f ca="1">IF(AND(G2="",N2=""),"e",IF(N2="",IF($BD$1&lt;=7,G2+RAND()*0.01,"e"),N2+RAND()*0.01))</f>
        <v>1.0097008141359598</v>
      </c>
      <c r="AU2" s="1437">
        <f ca="1">IF(AND(H2="",O2=""),"e",IF(O2="",IF($BD$1&lt;=7,H2+RAND()*0.01,"e"),O2+RAND()*0.01))</f>
        <v>1.0043277072954568</v>
      </c>
      <c r="AV2" s="1437" t="str">
        <f ca="1">IF(AND(I2="",P2=""),"e",IF(P2="",IF($BD$1&lt;=7,I2+RAND()*0.01,"e"),P2+RAND()*0.01))</f>
        <v>e</v>
      </c>
      <c r="AW2" s="1437"/>
      <c r="AX2" s="1436" t="str">
        <f>A2</f>
        <v>Beyl Yann</v>
      </c>
      <c r="AY2" s="1580" t="str">
        <f>IF(OR($H$2&gt;0,$H$3&gt;0,$H$4&gt;0,$H$5&gt;0,$H$6&gt;0,$H$7&gt;0,$H$8&gt;0,$H$2&gt;0),"",IF(COUNTIF(C2:H2,"")&gt;=5,"",IF(COUNTIF(C2:H2,SMALL(C2:H2,1))&gt;=2,SMALL(C2:H2,1),SMALL(C2:H2,2))))</f>
        <v/>
      </c>
      <c r="AZ2" s="1581">
        <f>IF(COUNTIF(J2:O2,"")&gt;=5,"",IF(COUNTIF(J2:O2,SMALL(J2:O2,1))&gt;=2,SMALL(J2:O2,1),SMALL(J2:O2,2)))</f>
        <v>1</v>
      </c>
      <c r="BA2" s="1401"/>
      <c r="BB2" s="1486" t="str">
        <f>[10]clt!BN2</f>
        <v>Clt</v>
      </c>
      <c r="BC2" s="1485" t="str">
        <f>[10]clt!BO2</f>
        <v>MTT 1:  R2     C</v>
      </c>
      <c r="BD2" s="1484" t="str">
        <f>[10]clt!BP2</f>
        <v>Pts</v>
      </c>
      <c r="BE2" s="1484" t="str">
        <f>[10]clt!BQ2</f>
        <v>Joués</v>
      </c>
      <c r="BF2" s="1483" t="str">
        <f>[10]clt!BR2</f>
        <v>vic</v>
      </c>
      <c r="BG2" s="1483" t="s">
        <v>174</v>
      </c>
      <c r="BH2" s="1483" t="s">
        <v>175</v>
      </c>
      <c r="BI2" s="1483" t="str">
        <f>[10]clt!BU2</f>
        <v>PG</v>
      </c>
      <c r="BJ2" s="1483" t="str">
        <f>[10]clt!BV2</f>
        <v>PP</v>
      </c>
      <c r="BK2" s="1461"/>
      <c r="BL2" s="1486" t="str">
        <f>[10]clt!BN11</f>
        <v>Clt</v>
      </c>
      <c r="BM2" s="1485" t="str">
        <f>[10]clt!BO11</f>
        <v>MTT 2:  D1     C</v>
      </c>
      <c r="BN2" s="1484" t="str">
        <f>[10]clt!BP11</f>
        <v>Pts</v>
      </c>
      <c r="BO2" s="1484" t="str">
        <f>[10]clt!BQ11</f>
        <v>Joués</v>
      </c>
      <c r="BP2" s="1483" t="str">
        <f>[10]clt!BR11</f>
        <v>vic</v>
      </c>
      <c r="BQ2" s="1483" t="s">
        <v>174</v>
      </c>
      <c r="BR2" s="1483" t="s">
        <v>175</v>
      </c>
      <c r="BS2" s="1483" t="str">
        <f>[10]clt!BU11</f>
        <v>PG</v>
      </c>
      <c r="BT2" s="1483" t="str">
        <f>[10]clt!BV11</f>
        <v>PP</v>
      </c>
      <c r="BU2" s="1518"/>
      <c r="BV2" s="1542" t="s">
        <v>782</v>
      </c>
      <c r="BW2" s="1531"/>
      <c r="BX2" s="1541" t="str">
        <f ca="1">[10]cal.Ph1!B78</f>
        <v/>
      </c>
      <c r="BY2" s="561">
        <f ca="1">IF($BD$1&lt;=7,COUNTIF($C2:$I2,"1")+RAND()*0.0001,COUNTIF($J2:$P2,"1")+RAND()*0.0001)</f>
        <v>4.0000098323609494</v>
      </c>
      <c r="BZ2" s="561" t="str">
        <f ca="1">IF(BY2&lt;1,"",AX2)</f>
        <v>Beyl Yann</v>
      </c>
      <c r="CA2" s="561">
        <f ca="1">IF($BD$1&lt;=7,COUNTIF($C2:$I2,"2")+RAND()*0.0001,COUNTIF($J2:$P2,"2")+RAND()*0.0001)</f>
        <v>7.8947674798366329E-5</v>
      </c>
      <c r="CB2" s="561" t="str">
        <f ca="1">IF(CA2&lt;1,"",AX2)</f>
        <v/>
      </c>
      <c r="CC2" s="561">
        <f ca="1">IF($BD$1&lt;=7,COUNTIF($C2:$I2,"3")+RAND()*0.0001,COUNTIF($J2:$P2,"3")+RAND()*0.0001)</f>
        <v>6.7478310628799789E-5</v>
      </c>
      <c r="CD2" s="561" t="str">
        <f ca="1">IF(CC2&lt;1,"",AX2)</f>
        <v/>
      </c>
      <c r="CE2" s="561">
        <f ca="1">IF($BD$1&lt;=7,COUNTIF($C2:$I2,"4")+RAND()*0.0001,COUNTIF($J2:$P2,"4")+RAND()*0.0001)</f>
        <v>1.7482154964432884E-5</v>
      </c>
      <c r="CF2" s="561" t="str">
        <f ca="1">IF(CE2&lt;1,"",AX2)</f>
        <v/>
      </c>
      <c r="CG2" s="561">
        <f ca="1">IF($BD$1&lt;=7,COUNTIF($C2:$I2,"5")+RAND()*0.0001,COUNTIF($J2:$P2,"5")+RAND()*0.0001)</f>
        <v>8.7252515120042068E-6</v>
      </c>
      <c r="CH2" s="561" t="str">
        <f ca="1">IF(CG2&lt;1,"",AX2)</f>
        <v/>
      </c>
      <c r="CI2" s="561">
        <f ca="1">IF($BD$1&lt;=7,COUNTIF($C2:$I2,"6")+RAND()*0.0001,COUNTIF($J2:$P2,"6")+RAND()*0.0001)</f>
        <v>3.8934373342907625E-5</v>
      </c>
      <c r="CJ2" s="561" t="str">
        <f ca="1">IF(CI2&lt;1,"",AX2)</f>
        <v/>
      </c>
      <c r="CK2" s="561">
        <f ca="1">IF($BD$1&lt;=7,COUNTIF($C2:$I2,"7")+RAND()*0.0001,COUNTIF($J2:$P2,"7")+RAND()*0.0001)</f>
        <v>4.4268461889684034E-6</v>
      </c>
      <c r="CL2" s="561" t="str">
        <f ca="1">IF(CK2&lt;1,"",AX2)</f>
        <v/>
      </c>
      <c r="CM2" s="561">
        <f ca="1">IF($BD$1&lt;=7,COUNTIF($C2:$I2,"8")+RAND()*0.0001,COUNTIF($J2:$P2,"8")+RAND()*0.0001)</f>
        <v>5.2986109049858387E-5</v>
      </c>
      <c r="CN2" s="561" t="str">
        <f ca="1">IF(CM2&lt;1,"",AX2)</f>
        <v/>
      </c>
      <c r="CO2" s="1530">
        <v>1</v>
      </c>
      <c r="CP2" s="1401">
        <f ca="1">AE2+RAND()*0.01</f>
        <v>10.003687778096356</v>
      </c>
      <c r="CQ2" s="1433">
        <f>VLOOKUP(C2,$CO$2:$DF$11,18,FALSE)</f>
        <v>3</v>
      </c>
      <c r="CR2" s="1433">
        <f>VLOOKUP(D2,$CO$2:$DF$11,18,FALSE)</f>
        <v>3</v>
      </c>
      <c r="CS2" s="1433">
        <f>VLOOKUP(E2,$CO$2:$DF$11,18,FALSE)</f>
        <v>3</v>
      </c>
      <c r="CT2" s="1433">
        <f>VLOOKUP(F2,$CO$2:$DF$11,18,FALSE)</f>
        <v>0</v>
      </c>
      <c r="CU2" s="1433">
        <f>VLOOKUP(G2,$CO$2:$DF$11,18,FALSE)</f>
        <v>3</v>
      </c>
      <c r="CV2" s="1433">
        <f>VLOOKUP(H2,$CO$2:$DF$11,18,FALSE)</f>
        <v>3</v>
      </c>
      <c r="CW2" s="1433">
        <f>VLOOKUP(I2,$CO$2:$DF$11,18,FALSE)</f>
        <v>3</v>
      </c>
      <c r="CX2" s="1433">
        <f>VLOOKUP(J2,$CO$2:$DF$11,18,FALSE)</f>
        <v>0</v>
      </c>
      <c r="CY2" s="1433">
        <f>VLOOKUP(K2,$CO$2:$DF$11,18,FALSE)</f>
        <v>0</v>
      </c>
      <c r="CZ2" s="1433">
        <f>VLOOKUP(L2,$CO$2:$DF$11,18,FALSE)</f>
        <v>3</v>
      </c>
      <c r="DA2" s="1433">
        <f>VLOOKUP(M2,$CO$2:$DF$11,18,FALSE)</f>
        <v>3</v>
      </c>
      <c r="DB2" s="1433">
        <f>VLOOKUP(N2,$CO$2:$DF$11,18,FALSE)</f>
        <v>3</v>
      </c>
      <c r="DC2" s="1433">
        <f>VLOOKUP(O2,$CO$2:$DF$11,18,FALSE)</f>
        <v>3</v>
      </c>
      <c r="DD2" s="1433">
        <f>VLOOKUP(P2,$CO$2:$DF$11,18,FALSE)</f>
        <v>0</v>
      </c>
      <c r="DE2" s="1432">
        <f ca="1">IF(AND(DI2=0,A2=""),AL2,IF(DI2=0,AL2+VLOOKUP(AX2,[10]Critérium!$AC$49:$DE$100,81,FALSE),AL2+VLOOKUP(AX2,[10]Critérium!$B$6:$T$22,19,FALSE)+VLOOKUP(AX2,[10]Critérium!$AC$49:$DE$100,81,FALSE)))</f>
        <v>22</v>
      </c>
      <c r="DF2" s="1530">
        <f>[10]équipes!N14</f>
        <v>3</v>
      </c>
      <c r="DG2" s="1429">
        <f ca="1">IF(AND(DI2=0,A2=""),AM2,IF(DI2=0,AM2+VLOOKUP(AX2,[10]Critérium!$AC$49:$DH$100,84,FALSE),AM2+VLOOKUP(AX2,[10]Critérium!$B$6:$V$22,21,FALSE)+VLOOKUP(AX2,[10]Critérium!$AC$49:$DH$100,84,FALSE)))</f>
        <v>30</v>
      </c>
      <c r="DH2" s="1430">
        <f ca="1">IF(DG2=0,0,(DE2/DG2+RAND()*0.0001))</f>
        <v>0.73333732992780187</v>
      </c>
      <c r="DI2" s="1429">
        <f>VLOOKUP(AX2,[10]liste!AN:AR,5,FALSE)</f>
        <v>0</v>
      </c>
      <c r="DJ2" s="1427">
        <f ca="1">DG2+RAND()</f>
        <v>30.160318140315642</v>
      </c>
      <c r="DK2" s="1427" t="str">
        <f>A2</f>
        <v>Beyl Yann</v>
      </c>
      <c r="DL2" s="1427"/>
      <c r="DM2" s="1428">
        <f>HLOOKUP($DM$1,$C$1:$P$70,2,FALSE)</f>
        <v>0</v>
      </c>
      <c r="DN2" s="1428">
        <f>HLOOKUP($DN$1,$Q$1:$AD$70,2,FALSE)</f>
        <v>0</v>
      </c>
      <c r="DO2" s="1401"/>
      <c r="DR2" s="1400">
        <f>IF(SUM(C2:P2)=0,0,(AE2*10/SUM(C2:P2)/2)*AE2/21)</f>
        <v>2.3809523809523809</v>
      </c>
      <c r="DT2" s="299"/>
      <c r="DU2" s="299"/>
      <c r="DV2" s="299"/>
      <c r="DW2" s="299"/>
      <c r="DX2" s="299"/>
      <c r="DY2" s="299"/>
      <c r="DZ2" s="299"/>
      <c r="EA2" s="299"/>
    </row>
    <row r="3" spans="1:131" ht="21.95" customHeight="1">
      <c r="A3" s="1477" t="str">
        <f>[10]points!B19</f>
        <v>Couture Nicolas</v>
      </c>
      <c r="B3" s="1476">
        <v>1</v>
      </c>
      <c r="C3" s="1428">
        <v>1</v>
      </c>
      <c r="D3" s="1428">
        <v>1</v>
      </c>
      <c r="E3" s="1428">
        <v>1</v>
      </c>
      <c r="F3" s="1428">
        <v>1</v>
      </c>
      <c r="G3" s="1428">
        <v>1</v>
      </c>
      <c r="H3" s="1428">
        <v>1</v>
      </c>
      <c r="I3" s="1475">
        <v>1</v>
      </c>
      <c r="J3" s="1428">
        <v>1</v>
      </c>
      <c r="K3" s="1428">
        <v>1</v>
      </c>
      <c r="L3" s="1428"/>
      <c r="M3" s="1428">
        <v>1</v>
      </c>
      <c r="N3" s="1428">
        <v>1</v>
      </c>
      <c r="O3" s="1428">
        <v>1</v>
      </c>
      <c r="P3" s="1474"/>
      <c r="Q3" s="1472">
        <v>3</v>
      </c>
      <c r="R3" s="1471">
        <v>3</v>
      </c>
      <c r="S3" s="1471">
        <v>2</v>
      </c>
      <c r="T3" s="1471">
        <v>2</v>
      </c>
      <c r="U3" s="1471">
        <v>2</v>
      </c>
      <c r="V3" s="1471">
        <v>2</v>
      </c>
      <c r="W3" s="1473">
        <v>3</v>
      </c>
      <c r="X3" s="1472">
        <v>3</v>
      </c>
      <c r="Y3" s="1471">
        <v>2</v>
      </c>
      <c r="Z3" s="1471"/>
      <c r="AA3" s="1471">
        <v>1</v>
      </c>
      <c r="AB3" s="1471">
        <v>2</v>
      </c>
      <c r="AC3" s="1471">
        <v>2</v>
      </c>
      <c r="AD3" s="1471"/>
      <c r="AE3" s="1458">
        <f>IF(B3="","",COUNTIF(C3:P3,"&gt;0"))</f>
        <v>12</v>
      </c>
      <c r="AF3" s="1470">
        <f>SUM(Q3:W3)</f>
        <v>17</v>
      </c>
      <c r="AG3" s="1470">
        <f>SUM(CQ3:CW3)</f>
        <v>21</v>
      </c>
      <c r="AH3" s="1469">
        <f ca="1">IF(AG3=0,"X",IF(AG3&lt;LARGE(AG$2:AG$70,1)/3,"NS",RAND()*0.00001+AF3/AG3))</f>
        <v>0.80952911046265941</v>
      </c>
      <c r="AI3" s="1470">
        <f>SUM(X3:AD3)</f>
        <v>10</v>
      </c>
      <c r="AJ3" s="1470">
        <f>SUM(CX3:DD3)</f>
        <v>15</v>
      </c>
      <c r="AK3" s="1469">
        <f ca="1">IF(AJ3=0,"X",IF(AJ3&lt;LARGE(AJ$2:AJ$70,1)/4,"NS",RAND()*0.00001+AI3/AJ3))</f>
        <v>0.66667457742389291</v>
      </c>
      <c r="AL3" s="1470">
        <f>SUM(Q3:AD3)</f>
        <v>27</v>
      </c>
      <c r="AM3" s="1470">
        <f>SUM(CQ3:DD3)</f>
        <v>36</v>
      </c>
      <c r="AN3" s="1469">
        <f ca="1">IF(AM3=0,"X",IF(AM3&lt;LARGE(AM$2:AM$70,1)/3,"NS",RAND()*0.00001+AL3/AM3))</f>
        <v>0.75000675709109721</v>
      </c>
      <c r="AO3" s="1437">
        <f ca="1">IF(B3="",10,B3+RAND()*0.01)</f>
        <v>1.0034907771535608</v>
      </c>
      <c r="AP3" s="1437">
        <f ca="1">IF(AND(C3="",J3=""),"e",IF(J3="",IF($BD$1&lt;=7,C3+RAND()*0.01,"e"),J3+RAND()*0.01))</f>
        <v>1.007478468760342</v>
      </c>
      <c r="AQ3" s="1437">
        <f ca="1">IF(AND(D3="",K3=""),"e",IF(K3="",IF($BD$1&lt;=7,D3+RAND()*0.01,"e"),K3+RAND()*0.01))</f>
        <v>1.0067736744890325</v>
      </c>
      <c r="AR3" s="1437" t="str">
        <f ca="1">IF(AND(E3="",L3=""),"e",IF(L3="",IF($BD$1&lt;=7,E3+RAND()*0.01,"e"),L3+RAND()*0.01))</f>
        <v>e</v>
      </c>
      <c r="AS3" s="1437">
        <f ca="1">IF(AND(F3="",M3=""),"e",IF(M3="",IF($BD$1&lt;=7,F3+RAND()*0.01,"e"),M3+RAND()*0.01))</f>
        <v>1.0083469924789226</v>
      </c>
      <c r="AT3" s="1437">
        <f ca="1">IF(AND(G3="",N3=""),"e",IF(N3="",IF($BD$1&lt;=7,G3+RAND()*0.01,"e"),N3+RAND()*0.01))</f>
        <v>1.0032629227586807</v>
      </c>
      <c r="AU3" s="1437">
        <f ca="1">IF(AND(H3="",O3=""),"e",IF(O3="",IF($BD$1&lt;=7,H3+RAND()*0.01,"e"),O3+RAND()*0.01))</f>
        <v>1.0053506885912875</v>
      </c>
      <c r="AV3" s="1437" t="str">
        <f ca="1">IF(AND(I3="",P3=""),"e",IF(P3="",IF($BD$1&lt;=7,I3+RAND()*0.01,"e"),P3+RAND()*0.01))</f>
        <v>e</v>
      </c>
      <c r="AW3" s="1437"/>
      <c r="AX3" s="1436" t="str">
        <f>A3</f>
        <v>Couture Nicolas</v>
      </c>
      <c r="AY3" s="1580" t="str">
        <f>IF(OR($H$2&gt;0,$H$3&gt;0,$H$4&gt;0,$H$5&gt;0,$H$6&gt;0,$H$7&gt;0,$H$8&gt;0,$H$2&gt;0),"",IF(COUNTIF(C3:H3,"")&gt;=5,"",IF(COUNTIF(C3:H3,SMALL(C3:H3,1))&gt;=2,SMALL(C3:H3,1),SMALL(C3:H3,2))))</f>
        <v/>
      </c>
      <c r="AZ3" s="1581">
        <f>IF(COUNTIF(J3:O3,"")&gt;=5,"",IF(COUNTIF(J3:O3,SMALL(J3:O3,1))&gt;=2,SMALL(J3:O3,1),SMALL(J3:O3,2)))</f>
        <v>1</v>
      </c>
      <c r="BA3" s="1401"/>
      <c r="BB3" s="1482">
        <v>1</v>
      </c>
      <c r="BC3" s="1478" t="str">
        <f ca="1">IF($BD$1&lt;=7,[10]clt!U3,[10]clt!BO3)</f>
        <v>AC PLERIN 3</v>
      </c>
      <c r="BD3" s="1481">
        <f ca="1">IF($BD$1&lt;=7,[10]clt!V3,[10]clt!BP3)</f>
        <v>21.000096948836568</v>
      </c>
      <c r="BE3" s="1480">
        <f ca="1">IF($BD$1&lt;=7,[10]clt!W3,[10]clt!BQ3)</f>
        <v>7</v>
      </c>
      <c r="BF3" s="1480">
        <f ca="1">IF($BD$1&lt;=7,[10]clt!X3,[10]clt!BR3)</f>
        <v>7</v>
      </c>
      <c r="BG3" s="1480">
        <f ca="1">IF($BD$1&lt;=7,[10]clt!Y3,[10]clt!BS3)</f>
        <v>0</v>
      </c>
      <c r="BH3" s="1480">
        <f ca="1">IF($BD$1&lt;=7,[10]clt!Z3,[10]clt!BT3)</f>
        <v>0</v>
      </c>
      <c r="BI3" s="1480">
        <f ca="1">IF($BD$1&lt;=7,[10]clt!AA3,[10]clt!BU3)</f>
        <v>77</v>
      </c>
      <c r="BJ3" s="1480">
        <f ca="1">IF($BD$1&lt;=7,[10]clt!AB3,[10]clt!BV3)</f>
        <v>21</v>
      </c>
      <c r="BK3" s="156"/>
      <c r="BL3" s="1482">
        <v>1</v>
      </c>
      <c r="BM3" s="1478" t="str">
        <f ca="1">IF($BD$1&lt;=7,[10]clt!U12,[10]clt!BO12)</f>
        <v>MUZILLAC TT 2</v>
      </c>
      <c r="BN3" s="1481">
        <f ca="1">IF($BD$1&lt;=7,[10]clt!V12,[10]clt!BP12)</f>
        <v>19.000061026416272</v>
      </c>
      <c r="BO3" s="1480">
        <f ca="1">IF($BD$1&lt;=7,[10]clt!W12,[10]clt!BQ12)</f>
        <v>7</v>
      </c>
      <c r="BP3" s="1480">
        <f ca="1">IF($BD$1&lt;=7,[10]clt!X12,[10]clt!BR12)</f>
        <v>5</v>
      </c>
      <c r="BQ3" s="1480">
        <f ca="1">IF($BD$1&lt;=7,[10]clt!Y12,[10]clt!BS12)</f>
        <v>2</v>
      </c>
      <c r="BR3" s="1480">
        <f ca="1">IF($BD$1&lt;=7,[10]clt!Z12,[10]clt!BT12)</f>
        <v>0</v>
      </c>
      <c r="BS3" s="1480">
        <f ca="1">IF($BD$1&lt;=7,[10]clt!AA12,[10]clt!BU12)</f>
        <v>67</v>
      </c>
      <c r="BT3" s="1480">
        <f ca="1">IF($BD$1&lt;=7,[10]clt!AB12,[10]clt!BV12)</f>
        <v>31</v>
      </c>
      <c r="BU3" s="299"/>
      <c r="BV3" s="1531" t="str">
        <f>BC2</f>
        <v>MTT 1:  R2     C</v>
      </c>
      <c r="BW3" s="1531" t="b">
        <f ca="1">[10]cal.Ph1!B79</f>
        <v>0</v>
      </c>
      <c r="BX3" s="1532"/>
      <c r="BY3" s="561">
        <f ca="1">IF($BD$1&lt;=7,COUNTIF($C3:$I3,"1")+RAND()*0.0001,COUNTIF($J3:$P3,"1")+RAND()*0.0001)</f>
        <v>5.0000156121486992</v>
      </c>
      <c r="BZ3" s="561" t="str">
        <f ca="1">IF(BY3&lt;1,"",AX3)</f>
        <v>Couture Nicolas</v>
      </c>
      <c r="CA3" s="561">
        <f ca="1">IF($BD$1&lt;=7,COUNTIF($C3:$I3,"2")+RAND()*0.0001,COUNTIF($J3:$P3,"2")+RAND()*0.0001)</f>
        <v>3.3366105000738022E-5</v>
      </c>
      <c r="CB3" s="561" t="str">
        <f ca="1">IF(CA3&lt;1,"",AX3)</f>
        <v/>
      </c>
      <c r="CC3" s="561">
        <f ca="1">IF($BD$1&lt;=7,COUNTIF($C3:$I3,"3")+RAND()*0.0001,COUNTIF($J3:$P3,"3")+RAND()*0.0001)</f>
        <v>2.2219711186051827E-5</v>
      </c>
      <c r="CD3" s="561" t="str">
        <f ca="1">IF(CC3&lt;1,"",AX3)</f>
        <v/>
      </c>
      <c r="CE3" s="561">
        <f ca="1">IF($BD$1&lt;=7,COUNTIF($C3:$I3,"4")+RAND()*0.0001,COUNTIF($J3:$P3,"4")+RAND()*0.0001)</f>
        <v>6.4373253657666325E-5</v>
      </c>
      <c r="CF3" s="561" t="str">
        <f ca="1">IF(CE3&lt;1,"",AX3)</f>
        <v/>
      </c>
      <c r="CG3" s="561">
        <f ca="1">IF($BD$1&lt;=7,COUNTIF($C3:$I3,"5")+RAND()*0.0001,COUNTIF($J3:$P3,"5")+RAND()*0.0001)</f>
        <v>3.6499730534917279E-5</v>
      </c>
      <c r="CH3" s="561" t="str">
        <f ca="1">IF(CG3&lt;1,"",AX3)</f>
        <v/>
      </c>
      <c r="CI3" s="561">
        <f ca="1">IF($BD$1&lt;=7,COUNTIF($C3:$I3,"6")+RAND()*0.0001,COUNTIF($J3:$P3,"6")+RAND()*0.0001)</f>
        <v>5.4974789506619538E-5</v>
      </c>
      <c r="CJ3" s="561" t="str">
        <f ca="1">IF(CI3&lt;1,"",AX3)</f>
        <v/>
      </c>
      <c r="CK3" s="561">
        <f ca="1">IF($BD$1&lt;=7,COUNTIF($C3:$I3,"7")+RAND()*0.0001,COUNTIF($J3:$P3,"7")+RAND()*0.0001)</f>
        <v>2.0090409724127414E-5</v>
      </c>
      <c r="CL3" s="561" t="str">
        <f ca="1">IF(CK3&lt;1,"",AX3)</f>
        <v/>
      </c>
      <c r="CM3" s="561">
        <f ca="1">IF($BD$1&lt;=7,COUNTIF($C3:$I3,"8")+RAND()*0.0001,COUNTIF($J3:$P3,"8")+RAND()*0.0001)</f>
        <v>5.2657798797642321E-6</v>
      </c>
      <c r="CN3" s="561" t="str">
        <f ca="1">IF(CM3&lt;1,"",AX3)</f>
        <v/>
      </c>
      <c r="CO3" s="1530">
        <v>2</v>
      </c>
      <c r="CP3" s="1401">
        <f ca="1">AE3+RAND()*0.01</f>
        <v>12.00071790862105</v>
      </c>
      <c r="CQ3" s="1433">
        <f>VLOOKUP(C3,$CO$2:$DF$11,18,FALSE)</f>
        <v>3</v>
      </c>
      <c r="CR3" s="1433">
        <f>VLOOKUP(D3,$CO$2:$DF$11,18,FALSE)</f>
        <v>3</v>
      </c>
      <c r="CS3" s="1433">
        <f>VLOOKUP(E3,$CO$2:$DF$11,18,FALSE)</f>
        <v>3</v>
      </c>
      <c r="CT3" s="1433">
        <f>VLOOKUP(F3,$CO$2:$DF$11,18,FALSE)</f>
        <v>3</v>
      </c>
      <c r="CU3" s="1433">
        <f>VLOOKUP(G3,$CO$2:$DF$11,18,FALSE)</f>
        <v>3</v>
      </c>
      <c r="CV3" s="1433">
        <f>VLOOKUP(H3,$CO$2:$DF$11,18,FALSE)</f>
        <v>3</v>
      </c>
      <c r="CW3" s="1433">
        <f>VLOOKUP(I3,$CO$2:$DF$11,18,FALSE)</f>
        <v>3</v>
      </c>
      <c r="CX3" s="1433">
        <f>VLOOKUP(J3,$CO$2:$DF$11,18,FALSE)</f>
        <v>3</v>
      </c>
      <c r="CY3" s="1433">
        <f>VLOOKUP(K3,$CO$2:$DF$11,18,FALSE)</f>
        <v>3</v>
      </c>
      <c r="CZ3" s="1433">
        <f>VLOOKUP(L3,$CO$2:$DF$11,18,FALSE)</f>
        <v>0</v>
      </c>
      <c r="DA3" s="1433">
        <f>VLOOKUP(M3,$CO$2:$DF$11,18,FALSE)</f>
        <v>3</v>
      </c>
      <c r="DB3" s="1433">
        <f>VLOOKUP(N3,$CO$2:$DF$11,18,FALSE)</f>
        <v>3</v>
      </c>
      <c r="DC3" s="1433">
        <f>VLOOKUP(O3,$CO$2:$DF$11,18,FALSE)</f>
        <v>3</v>
      </c>
      <c r="DD3" s="1433">
        <f>VLOOKUP(P3,$CO$2:$DF$11,18,FALSE)</f>
        <v>0</v>
      </c>
      <c r="DE3" s="1432">
        <f ca="1">IF(AND(DI3=0,A3=""),AL3,IF(DI3=0,AL3+VLOOKUP(AX3,[10]Critérium!$AC$49:$DE$100,81,FALSE),AL3+VLOOKUP(AX3,[10]Critérium!$B$6:$T$22,19,FALSE)+VLOOKUP(AX3,[10]Critérium!$AC$49:$DE$100,81,FALSE)))</f>
        <v>37</v>
      </c>
      <c r="DF3" s="1530">
        <f>[10]équipes!N15</f>
        <v>3</v>
      </c>
      <c r="DG3" s="1429">
        <f ca="1">IF(AND(DI3=0,A3=""),AM3,IF(DI3=0,AM3+VLOOKUP(AX3,[10]Critérium!$AC$49:$DH$100,84,FALSE),AM3+VLOOKUP(AX3,[10]Critérium!$B$6:$V$22,21,FALSE)+VLOOKUP(AX3,[10]Critérium!$AC$49:$DH$100,84,FALSE)))</f>
        <v>51</v>
      </c>
      <c r="DH3" s="1430">
        <f ca="1">IF(DG3=0,0,(DE3/DG3+RAND()*0.0001))</f>
        <v>0.72554536475413722</v>
      </c>
      <c r="DI3" s="1429">
        <f>VLOOKUP(AX3,[10]liste!AN:AR,5,FALSE)</f>
        <v>0</v>
      </c>
      <c r="DJ3" s="1427">
        <f ca="1">DG3+RAND()</f>
        <v>51.129272831586874</v>
      </c>
      <c r="DK3" s="1427" t="str">
        <f>A3</f>
        <v>Couture Nicolas</v>
      </c>
      <c r="DL3" s="1427"/>
      <c r="DM3" s="1428">
        <f>HLOOKUP($DM$1,$C$1:$P$70,3,FALSE)</f>
        <v>0</v>
      </c>
      <c r="DN3" s="1428">
        <f>HLOOKUP($DN$1,$Q$1:$AD$70,3,FALSE)</f>
        <v>0</v>
      </c>
      <c r="DO3" s="1401"/>
      <c r="DP3" s="1401"/>
      <c r="DR3" s="1400">
        <f>IF(SUM(C3:P3)=0,0,(AE3*10/SUM(C3:P3)/2)*AE3/21)</f>
        <v>2.8571428571428572</v>
      </c>
      <c r="DT3" s="299"/>
      <c r="DU3" s="299"/>
      <c r="DV3" s="299"/>
      <c r="DW3" s="299"/>
      <c r="DX3" s="299"/>
      <c r="DY3" s="299"/>
      <c r="DZ3" s="299"/>
      <c r="EA3" s="299"/>
    </row>
    <row r="4" spans="1:131" ht="21.95" customHeight="1">
      <c r="A4" s="1477" t="str">
        <f>[10]points!B18</f>
        <v>Flégeau Matthieu</v>
      </c>
      <c r="B4" s="1476">
        <v>1</v>
      </c>
      <c r="C4" s="1428"/>
      <c r="D4" s="1428"/>
      <c r="E4" s="1428">
        <v>1</v>
      </c>
      <c r="F4" s="1428">
        <v>1</v>
      </c>
      <c r="G4" s="1428">
        <v>1</v>
      </c>
      <c r="H4" s="1428">
        <v>1</v>
      </c>
      <c r="I4" s="1475">
        <v>1</v>
      </c>
      <c r="J4" s="1428">
        <v>1</v>
      </c>
      <c r="K4" s="1428">
        <v>1</v>
      </c>
      <c r="L4" s="1428">
        <v>1</v>
      </c>
      <c r="M4" s="1428"/>
      <c r="N4" s="1428"/>
      <c r="O4" s="1428"/>
      <c r="P4" s="1474">
        <v>1</v>
      </c>
      <c r="Q4" s="1472"/>
      <c r="R4" s="1471"/>
      <c r="S4" s="1471">
        <v>3</v>
      </c>
      <c r="T4" s="1471">
        <v>3</v>
      </c>
      <c r="U4" s="1471">
        <v>3</v>
      </c>
      <c r="V4" s="1471">
        <v>2</v>
      </c>
      <c r="W4" s="1473">
        <v>2</v>
      </c>
      <c r="X4" s="1472">
        <v>3</v>
      </c>
      <c r="Y4" s="1471">
        <v>2</v>
      </c>
      <c r="Z4" s="1471">
        <v>2</v>
      </c>
      <c r="AA4" s="1471"/>
      <c r="AB4" s="1471"/>
      <c r="AC4" s="1471"/>
      <c r="AD4" s="1471">
        <v>3</v>
      </c>
      <c r="AE4" s="1458">
        <f>IF(B4="","",COUNTIF(C4:P4,"&gt;0"))</f>
        <v>9</v>
      </c>
      <c r="AF4" s="1470">
        <f>SUM(Q4:W4)</f>
        <v>13</v>
      </c>
      <c r="AG4" s="1470">
        <f>SUM(CQ4:CW4)</f>
        <v>15</v>
      </c>
      <c r="AH4" s="1469">
        <f ca="1">IF(AG4=0,"X",IF(AG4&lt;LARGE(AG$2:AG$70,1)/3,"NS",RAND()*0.00001+AF4/AG4))</f>
        <v>0.86666907882924815</v>
      </c>
      <c r="AI4" s="1470">
        <f>SUM(X4:AD4)</f>
        <v>10</v>
      </c>
      <c r="AJ4" s="1470">
        <f>SUM(CX4:DD4)</f>
        <v>12</v>
      </c>
      <c r="AK4" s="1469">
        <f ca="1">IF(AJ4=0,"X",IF(AJ4&lt;LARGE(AJ$2:AJ$70,1)/4,"NS",RAND()*0.00001+AI4/AJ4))</f>
        <v>0.83333623044897165</v>
      </c>
      <c r="AL4" s="1470">
        <f>SUM(Q4:AD4)</f>
        <v>23</v>
      </c>
      <c r="AM4" s="1470">
        <f>SUM(CQ4:DD4)</f>
        <v>27</v>
      </c>
      <c r="AN4" s="1469">
        <f ca="1">IF(AM4=0,"X",IF(AM4&lt;LARGE(AM$2:AM$70,1)/3,"NS",RAND()*0.00001+AL4/AM4))</f>
        <v>0.85185673777643933</v>
      </c>
      <c r="AO4" s="1437">
        <f ca="1">IF(B4="",10,B4+RAND()*0.01)</f>
        <v>1.0071730466366275</v>
      </c>
      <c r="AP4" s="1437">
        <f ca="1">IF(AND(C4="",J4=""),"e",IF(J4="",IF($BD$1&lt;=7,C4+RAND()*0.01,"e"),J4+RAND()*0.01))</f>
        <v>1.0051511968903555</v>
      </c>
      <c r="AQ4" s="1437">
        <f ca="1">IF(AND(D4="",K4=""),"e",IF(K4="",IF($BD$1&lt;=7,D4+RAND()*0.01,"e"),K4+RAND()*0.01))</f>
        <v>1.0099550339809182</v>
      </c>
      <c r="AR4" s="1437">
        <f ca="1">IF(AND(E4="",L4=""),"e",IF(L4="",IF($BD$1&lt;=7,E4+RAND()*0.01,"e"),L4+RAND()*0.01))</f>
        <v>1.0091343014769736</v>
      </c>
      <c r="AS4" s="1437" t="str">
        <f ca="1">IF(AND(F4="",M4=""),"e",IF(M4="",IF($BD$1&lt;=7,F4+RAND()*0.01,"e"),M4+RAND()*0.01))</f>
        <v>e</v>
      </c>
      <c r="AT4" s="1437" t="str">
        <f ca="1">IF(AND(G4="",N4=""),"e",IF(N4="",IF($BD$1&lt;=7,G4+RAND()*0.01,"e"),N4+RAND()*0.01))</f>
        <v>e</v>
      </c>
      <c r="AU4" s="1437" t="str">
        <f ca="1">IF(AND(H4="",O4=""),"e",IF(O4="",IF($BD$1&lt;=7,H4+RAND()*0.01,"e"),O4+RAND()*0.01))</f>
        <v>e</v>
      </c>
      <c r="AV4" s="1437">
        <f ca="1">IF(AND(I4="",P4=""),"e",IF(P4="",IF($BD$1&lt;=7,I4+RAND()*0.01,"e"),P4+RAND()*0.01))</f>
        <v>1.0053005538860806</v>
      </c>
      <c r="AW4" s="1437"/>
      <c r="AX4" s="1436" t="str">
        <f>A4</f>
        <v>Flégeau Matthieu</v>
      </c>
      <c r="AY4" s="1580" t="str">
        <f>IF(OR($H$2&gt;0,$H$3&gt;0,$H$4&gt;0,$H$5&gt;0,$H$6&gt;0,$H$7&gt;0,$H$8&gt;0,$H$2&gt;0),"",IF(COUNTIF(C4:H4,"")&gt;=5,"",IF(COUNTIF(C4:H4,SMALL(C4:H4,1))&gt;=2,SMALL(C4:H4,1),SMALL(C4:H4,2))))</f>
        <v/>
      </c>
      <c r="AZ4" s="1581">
        <f>IF(COUNTIF(J4:O4,"")&gt;=5,"",IF(COUNTIF(J4:O4,SMALL(J4:O4,1))&gt;=2,SMALL(J4:O4,1),SMALL(J4:O4,2)))</f>
        <v>1</v>
      </c>
      <c r="BA4" s="1401"/>
      <c r="BB4" s="1482">
        <f ca="1">IF(ROUND(BD4,0)=ROUND(BD3,0),"-",2)</f>
        <v>2</v>
      </c>
      <c r="BC4" s="1478" t="str">
        <f ca="1">IF($BD$1&lt;=7,[10]clt!U4,[10]clt!BO4)</f>
        <v>MUZILLAC TT 1</v>
      </c>
      <c r="BD4" s="1481">
        <f ca="1">IF($BD$1&lt;=7,[10]clt!V4,[10]clt!BP4)</f>
        <v>18.000066441992033</v>
      </c>
      <c r="BE4" s="1480">
        <f ca="1">IF($BD$1&lt;=7,[10]clt!W4,[10]clt!BQ4)</f>
        <v>7</v>
      </c>
      <c r="BF4" s="1480">
        <f ca="1">IF($BD$1&lt;=7,[10]clt!X4,[10]clt!BR4)</f>
        <v>5</v>
      </c>
      <c r="BG4" s="1480">
        <f ca="1">IF($BD$1&lt;=7,[10]clt!Y4,[10]clt!BS4)</f>
        <v>1</v>
      </c>
      <c r="BH4" s="1480">
        <f ca="1">IF($BD$1&lt;=7,[10]clt!Z4,[10]clt!BT4)</f>
        <v>1</v>
      </c>
      <c r="BI4" s="1480">
        <f ca="1">IF($BD$1&lt;=7,[10]clt!AA4,[10]clt!BU4)</f>
        <v>68</v>
      </c>
      <c r="BJ4" s="1480">
        <f ca="1">IF($BD$1&lt;=7,[10]clt!AB4,[10]clt!BV4)</f>
        <v>30</v>
      </c>
      <c r="BK4" s="156"/>
      <c r="BL4" s="1482">
        <f ca="1">IF(ROUND(BN4,0)=ROUND(BN3,0),"-",2)</f>
        <v>2</v>
      </c>
      <c r="BM4" s="1478" t="str">
        <f ca="1">IF($BD$1&lt;=7,[10]clt!U13,[10]clt!BO13)</f>
        <v>SENE TT 2</v>
      </c>
      <c r="BN4" s="1481">
        <f ca="1">IF($BD$1&lt;=7,[10]clt!V13,[10]clt!BP13)</f>
        <v>16.000041506174821</v>
      </c>
      <c r="BO4" s="1480">
        <f ca="1">IF($BD$1&lt;=7,[10]clt!W13,[10]clt!BQ13)</f>
        <v>7</v>
      </c>
      <c r="BP4" s="1480">
        <f ca="1">IF($BD$1&lt;=7,[10]clt!X13,[10]clt!BR13)</f>
        <v>4</v>
      </c>
      <c r="BQ4" s="1480">
        <f ca="1">IF($BD$1&lt;=7,[10]clt!Y13,[10]clt!BS13)</f>
        <v>1</v>
      </c>
      <c r="BR4" s="1480">
        <f ca="1">IF($BD$1&lt;=7,[10]clt!Z13,[10]clt!BT13)</f>
        <v>2</v>
      </c>
      <c r="BS4" s="1480">
        <f ca="1">IF($BD$1&lt;=7,[10]clt!AA13,[10]clt!BU13)</f>
        <v>51</v>
      </c>
      <c r="BT4" s="1480">
        <f ca="1">IF($BD$1&lt;=7,[10]clt!AB13,[10]clt!BV13)</f>
        <v>47</v>
      </c>
      <c r="BU4" s="299"/>
      <c r="BV4" s="1531" t="str">
        <f>BM2</f>
        <v>MTT 2:  D1     C</v>
      </c>
      <c r="BW4" s="1531" t="b">
        <f ca="1">[10]cal.Ph1!B80</f>
        <v>0</v>
      </c>
      <c r="BX4" s="1532"/>
      <c r="BY4" s="561">
        <f ca="1">IF($BD$1&lt;=7,COUNTIF($C4:$I4,"1")+RAND()*0.0001,COUNTIF($J4:$P4,"1")+RAND()*0.0001)</f>
        <v>4.0000187385629999</v>
      </c>
      <c r="BZ4" s="561" t="str">
        <f ca="1">IF(BY4&lt;1,"",AX4)</f>
        <v>Flégeau Matthieu</v>
      </c>
      <c r="CA4" s="561">
        <f ca="1">IF($BD$1&lt;=7,COUNTIF($C4:$I4,"2")+RAND()*0.0001,COUNTIF($J4:$P4,"2")+RAND()*0.0001)</f>
        <v>9.3509640234837763E-5</v>
      </c>
      <c r="CB4" s="561" t="str">
        <f ca="1">IF(CA4&lt;1,"",AX4)</f>
        <v/>
      </c>
      <c r="CC4" s="561">
        <f ca="1">IF($BD$1&lt;=7,COUNTIF($C4:$I4,"3")+RAND()*0.0001,COUNTIF($J4:$P4,"3")+RAND()*0.0001)</f>
        <v>5.7477801795443677E-5</v>
      </c>
      <c r="CD4" s="561" t="str">
        <f ca="1">IF(CC4&lt;1,"",AX4)</f>
        <v/>
      </c>
      <c r="CE4" s="561">
        <f ca="1">IF($BD$1&lt;=7,COUNTIF($C4:$I4,"4")+RAND()*0.0001,COUNTIF($J4:$P4,"4")+RAND()*0.0001)</f>
        <v>6.893918563722884E-5</v>
      </c>
      <c r="CF4" s="561" t="str">
        <f ca="1">IF(CE4&lt;1,"",AX4)</f>
        <v/>
      </c>
      <c r="CG4" s="561">
        <f ca="1">IF($BD$1&lt;=7,COUNTIF($C4:$I4,"5")+RAND()*0.0001,COUNTIF($J4:$P4,"5")+RAND()*0.0001)</f>
        <v>2.3168469965799101E-5</v>
      </c>
      <c r="CH4" s="561" t="str">
        <f ca="1">IF(CG4&lt;1,"",AX4)</f>
        <v/>
      </c>
      <c r="CI4" s="561">
        <f ca="1">IF($BD$1&lt;=7,COUNTIF($C4:$I4,"6")+RAND()*0.0001,COUNTIF($J4:$P4,"6")+RAND()*0.0001)</f>
        <v>6.0522948214407303E-5</v>
      </c>
      <c r="CJ4" s="561" t="str">
        <f ca="1">IF(CI4&lt;1,"",AX4)</f>
        <v/>
      </c>
      <c r="CK4" s="561">
        <f ca="1">IF($BD$1&lt;=7,COUNTIF($C4:$I4,"7")+RAND()*0.0001,COUNTIF($J4:$P4,"7")+RAND()*0.0001)</f>
        <v>4.2906146149470597E-5</v>
      </c>
      <c r="CL4" s="561" t="str">
        <f ca="1">IF(CK4&lt;1,"",AX4)</f>
        <v/>
      </c>
      <c r="CM4" s="561">
        <f ca="1">IF($BD$1&lt;=7,COUNTIF($C4:$I4,"8")+RAND()*0.0001,COUNTIF($J4:$P4,"8")+RAND()*0.0001)</f>
        <v>4.2773980649173917E-5</v>
      </c>
      <c r="CN4" s="561" t="str">
        <f ca="1">IF(CM4&lt;1,"",AX4)</f>
        <v/>
      </c>
      <c r="CO4" s="1530">
        <v>3</v>
      </c>
      <c r="CP4" s="1401">
        <f ca="1">AE4+RAND()*0.01</f>
        <v>9.0060627930790709</v>
      </c>
      <c r="CQ4" s="1433">
        <f>VLOOKUP(C4,$CO$2:$DF$11,18,FALSE)</f>
        <v>0</v>
      </c>
      <c r="CR4" s="1433">
        <f>VLOOKUP(D4,$CO$2:$DF$11,18,FALSE)</f>
        <v>0</v>
      </c>
      <c r="CS4" s="1433">
        <f>VLOOKUP(E4,$CO$2:$DF$11,18,FALSE)</f>
        <v>3</v>
      </c>
      <c r="CT4" s="1433">
        <f>VLOOKUP(F4,$CO$2:$DF$11,18,FALSE)</f>
        <v>3</v>
      </c>
      <c r="CU4" s="1433">
        <f>VLOOKUP(G4,$CO$2:$DF$11,18,FALSE)</f>
        <v>3</v>
      </c>
      <c r="CV4" s="1433">
        <f>VLOOKUP(H4,$CO$2:$DF$11,18,FALSE)</f>
        <v>3</v>
      </c>
      <c r="CW4" s="1433">
        <f>VLOOKUP(I4,$CO$2:$DF$11,18,FALSE)</f>
        <v>3</v>
      </c>
      <c r="CX4" s="1433">
        <f>VLOOKUP(J4,$CO$2:$DF$11,18,FALSE)</f>
        <v>3</v>
      </c>
      <c r="CY4" s="1433">
        <f>VLOOKUP(K4,$CO$2:$DF$11,18,FALSE)</f>
        <v>3</v>
      </c>
      <c r="CZ4" s="1433">
        <f>VLOOKUP(L4,$CO$2:$DF$11,18,FALSE)</f>
        <v>3</v>
      </c>
      <c r="DA4" s="1433">
        <f>VLOOKUP(M4,$CO$2:$DF$11,18,FALSE)</f>
        <v>0</v>
      </c>
      <c r="DB4" s="1433">
        <f>VLOOKUP(N4,$CO$2:$DF$11,18,FALSE)</f>
        <v>0</v>
      </c>
      <c r="DC4" s="1433">
        <f>VLOOKUP(O4,$CO$2:$DF$11,18,FALSE)</f>
        <v>0</v>
      </c>
      <c r="DD4" s="1433">
        <f>VLOOKUP(P4,$CO$2:$DF$11,18,FALSE)</f>
        <v>3</v>
      </c>
      <c r="DE4" s="1432">
        <f ca="1">IF(AND(DI4=0,A4=""),AL4,IF(DI4=0,AL4+VLOOKUP(AX4,[10]Critérium!$AC$49:$DE$100,81,FALSE),AL4+VLOOKUP(AX4,[10]Critérium!$B$6:$T$22,19,FALSE)+VLOOKUP(AX4,[10]Critérium!$AC$49:$DE$100,81,FALSE)))</f>
        <v>40</v>
      </c>
      <c r="DF4" s="1530">
        <f>[10]équipes!N16</f>
        <v>3</v>
      </c>
      <c r="DG4" s="1429">
        <f ca="1">IF(AND(DI4=0,A4=""),AM4,IF(DI4=0,AM4+VLOOKUP(AX4,[10]Critérium!$AC$49:$DH$100,84,FALSE),AM4+VLOOKUP(AX4,[10]Critérium!$B$6:$V$22,21,FALSE)+VLOOKUP(AX4,[10]Critérium!$AC$49:$DH$100,84,FALSE)))</f>
        <v>51</v>
      </c>
      <c r="DH4" s="1430">
        <f ca="1">IF(DG4=0,0,(DE4/DG4+RAND()*0.0001))</f>
        <v>0.7843404501071285</v>
      </c>
      <c r="DI4" s="1429" t="str">
        <f>VLOOKUP(AX4,[10]liste!AN:AR,5,FALSE)</f>
        <v>x</v>
      </c>
      <c r="DJ4" s="1427">
        <f ca="1">DG4+RAND()</f>
        <v>51.02674192575661</v>
      </c>
      <c r="DK4" s="1427" t="str">
        <f>A4</f>
        <v>Flégeau Matthieu</v>
      </c>
      <c r="DL4" s="1427"/>
      <c r="DM4" s="1428">
        <f>HLOOKUP($DM$1,$C$1:$P$70,4,FALSE)</f>
        <v>1</v>
      </c>
      <c r="DN4" s="1428">
        <f>HLOOKUP($DN$1,$Q$1:$AD$70,4,FALSE)</f>
        <v>3</v>
      </c>
      <c r="DO4" s="1401"/>
      <c r="DP4" s="1401"/>
      <c r="DR4" s="1400">
        <f>IF(SUM(C4:P4)=0,0,(AE4*10/SUM(C4:P4)/2)*AE4/21)</f>
        <v>2.1428571428571428</v>
      </c>
      <c r="DT4" s="299"/>
      <c r="DU4" s="299"/>
      <c r="DV4" s="299"/>
      <c r="DW4" s="299"/>
      <c r="DX4" s="299"/>
      <c r="DY4" s="299"/>
      <c r="DZ4" s="299"/>
      <c r="EA4" s="299"/>
    </row>
    <row r="5" spans="1:131" ht="21.95" customHeight="1">
      <c r="A5" s="1500" t="str">
        <f>[10]points!B16</f>
        <v>Brient Jean-François</v>
      </c>
      <c r="B5" s="1499">
        <v>1</v>
      </c>
      <c r="C5" s="1497">
        <v>1</v>
      </c>
      <c r="D5" s="1497">
        <v>1</v>
      </c>
      <c r="E5" s="1497">
        <v>1</v>
      </c>
      <c r="F5" s="1497">
        <v>1</v>
      </c>
      <c r="G5" s="1497">
        <v>1</v>
      </c>
      <c r="H5" s="1497">
        <v>1</v>
      </c>
      <c r="I5" s="1498"/>
      <c r="J5" s="1497">
        <v>1</v>
      </c>
      <c r="K5" s="1497">
        <v>1</v>
      </c>
      <c r="L5" s="1497">
        <v>1</v>
      </c>
      <c r="M5" s="1497">
        <v>1</v>
      </c>
      <c r="N5" s="1497">
        <v>1</v>
      </c>
      <c r="O5" s="1497"/>
      <c r="P5" s="1496">
        <v>1</v>
      </c>
      <c r="Q5" s="1494">
        <v>3</v>
      </c>
      <c r="R5" s="1493">
        <v>3</v>
      </c>
      <c r="S5" s="1493">
        <v>3</v>
      </c>
      <c r="T5" s="1493">
        <v>3</v>
      </c>
      <c r="U5" s="1493">
        <v>3</v>
      </c>
      <c r="V5" s="1493">
        <v>3</v>
      </c>
      <c r="W5" s="1495"/>
      <c r="X5" s="1494">
        <v>3</v>
      </c>
      <c r="Y5" s="1493">
        <v>3</v>
      </c>
      <c r="Z5" s="1493">
        <v>3</v>
      </c>
      <c r="AA5" s="1493">
        <v>3</v>
      </c>
      <c r="AB5" s="1493">
        <v>3</v>
      </c>
      <c r="AC5" s="1493"/>
      <c r="AD5" s="1493">
        <v>3</v>
      </c>
      <c r="AE5" s="1492">
        <f>IF(B5="","",COUNTIF(C5:P5,"&gt;0"))</f>
        <v>12</v>
      </c>
      <c r="AF5" s="1490">
        <f>SUM(Q5:W5)</f>
        <v>18</v>
      </c>
      <c r="AG5" s="1470">
        <f>SUM(CQ5:CW5)</f>
        <v>18</v>
      </c>
      <c r="AH5" s="1469">
        <f ca="1">IF(AG5=0,"X",IF(AG5&lt;LARGE(AG$2:AG$70,1)/3,"NS",RAND()*0.00001+AF5/AG5))</f>
        <v>1.0000073620569276</v>
      </c>
      <c r="AI5" s="1490">
        <f>SUM(X5:AD5)</f>
        <v>18</v>
      </c>
      <c r="AJ5" s="1490">
        <f>SUM(CX5:DD5)</f>
        <v>18</v>
      </c>
      <c r="AK5" s="1491">
        <f ca="1">IF(AJ5=0,"X",IF(AJ5&lt;LARGE(AJ$2:AJ$70,1)/4,"NS",RAND()*0.00001+AI5/AJ5))</f>
        <v>1.0000050724928082</v>
      </c>
      <c r="AL5" s="1490">
        <f>SUM(Q5:AD5)</f>
        <v>36</v>
      </c>
      <c r="AM5" s="1490">
        <f>SUM(CQ5:DD5)</f>
        <v>36</v>
      </c>
      <c r="AN5" s="1469">
        <f ca="1">IF(AM5=0,"X",IF(AM5&lt;LARGE(AM$2:AM$70,1)/3,"NS",RAND()*0.00001+AL5/AM5))</f>
        <v>1.0000076947220446</v>
      </c>
      <c r="AO5" s="1437">
        <f ca="1">IF(B5="",10,B5+RAND()*0.01)</f>
        <v>1.0043464277524057</v>
      </c>
      <c r="AP5" s="1437">
        <f ca="1">IF(AND(C5="",J5=""),"e",IF(J5="",IF($BD$1&lt;=7,C5+RAND()*0.01,"e"),J5+RAND()*0.01))</f>
        <v>1.0078370167384343</v>
      </c>
      <c r="AQ5" s="1437">
        <f ca="1">IF(AND(D5="",K5=""),"e",IF(K5="",IF($BD$1&lt;=7,D5+RAND()*0.01,"e"),K5+RAND()*0.01))</f>
        <v>1.0066465121190191</v>
      </c>
      <c r="AR5" s="1437">
        <f ca="1">IF(AND(E5="",L5=""),"e",IF(L5="",IF($BD$1&lt;=7,E5+RAND()*0.01,"e"),L5+RAND()*0.01))</f>
        <v>1.0067703021402006</v>
      </c>
      <c r="AS5" s="1437">
        <f ca="1">IF(AND(F5="",M5=""),"e",IF(M5="",IF($BD$1&lt;=7,F5+RAND()*0.01,"e"),M5+RAND()*0.01))</f>
        <v>1.008967162219514</v>
      </c>
      <c r="AT5" s="1437">
        <f ca="1">IF(AND(G5="",N5=""),"e",IF(N5="",IF($BD$1&lt;=7,G5+RAND()*0.01,"e"),N5+RAND()*0.01))</f>
        <v>1.0025816763013562</v>
      </c>
      <c r="AU5" s="1437" t="str">
        <f ca="1">IF(AND(H5="",O5=""),"e",IF(O5="",IF($BD$1&lt;=7,H5+RAND()*0.01,"e"),O5+RAND()*0.01))</f>
        <v>e</v>
      </c>
      <c r="AV5" s="1437">
        <f ca="1">IF(AND(I5="",P5=""),"e",IF(P5="",IF($BD$1&lt;=7,I5+RAND()*0.01,"e"),P5+RAND()*0.01))</f>
        <v>1.0003755312448739</v>
      </c>
      <c r="AW5" s="1437"/>
      <c r="AX5" s="1436" t="str">
        <f>A5</f>
        <v>Brient Jean-François</v>
      </c>
      <c r="AY5" s="1580" t="str">
        <f>IF(OR($H$2&gt;0,$H$3&gt;0,$H$4&gt;0,$H$5&gt;0,$H$6&gt;0,$H$7&gt;0,$H$8&gt;0,$H$2&gt;0),"",IF(COUNTIF(C5:H5,"")&gt;=5,"",IF(COUNTIF(C5:H5,SMALL(C5:H5,1))&gt;=2,SMALL(C5:H5,1),SMALL(C5:H5,2))))</f>
        <v/>
      </c>
      <c r="AZ5" s="1581">
        <f>IF(COUNTIF(J5:O5,"")&gt;=5,"",IF(COUNTIF(J5:O5,SMALL(J5:O5,1))&gt;=2,SMALL(J5:O5,1),SMALL(J5:O5,2)))</f>
        <v>1</v>
      </c>
      <c r="BA5" s="1401"/>
      <c r="BB5" s="1482">
        <f ca="1">IF(ROUND(BD5,0)=ROUND(BD4,0),"-",3)</f>
        <v>3</v>
      </c>
      <c r="BC5" s="1478" t="str">
        <f ca="1">IF($BD$1&lt;=7,[10]clt!U5,[10]clt!BO5)</f>
        <v>RENNES TA 3</v>
      </c>
      <c r="BD5" s="1481">
        <f ca="1">IF($BD$1&lt;=7,[10]clt!V5,[10]clt!BP5)</f>
        <v>16.00001179485697</v>
      </c>
      <c r="BE5" s="1480">
        <f ca="1">IF($BD$1&lt;=7,[10]clt!W5,[10]clt!BQ5)</f>
        <v>7</v>
      </c>
      <c r="BF5" s="1480">
        <f ca="1">IF($BD$1&lt;=7,[10]clt!X5,[10]clt!BR5)</f>
        <v>3</v>
      </c>
      <c r="BG5" s="1480">
        <f ca="1">IF($BD$1&lt;=7,[10]clt!Y5,[10]clt!BS5)</f>
        <v>3</v>
      </c>
      <c r="BH5" s="1480">
        <f ca="1">IF($BD$1&lt;=7,[10]clt!Z5,[10]clt!BT5)</f>
        <v>1</v>
      </c>
      <c r="BI5" s="1480">
        <f ca="1">IF($BD$1&lt;=7,[10]clt!AA5,[10]clt!BU5)</f>
        <v>49</v>
      </c>
      <c r="BJ5" s="1480">
        <f ca="1">IF($BD$1&lt;=7,[10]clt!AB5,[10]clt!BV5)</f>
        <v>49</v>
      </c>
      <c r="BK5" s="156"/>
      <c r="BL5" s="1482">
        <f ca="1">IF(ROUND(BN5,0)=ROUND(BN4,0),"-",3)</f>
        <v>3</v>
      </c>
      <c r="BM5" s="1478" t="str">
        <f ca="1">IF($BD$1&lt;=7,[10]clt!U14,[10]clt!BO14)</f>
        <v>L. PLOERMEL 3</v>
      </c>
      <c r="BN5" s="1481">
        <f ca="1">IF($BD$1&lt;=7,[10]clt!V14,[10]clt!BP14)</f>
        <v>14.000024485938715</v>
      </c>
      <c r="BO5" s="1480">
        <f ca="1">IF($BD$1&lt;=7,[10]clt!W14,[10]clt!BQ14)</f>
        <v>7</v>
      </c>
      <c r="BP5" s="1480">
        <f ca="1">IF($BD$1&lt;=7,[10]clt!X14,[10]clt!BR14)</f>
        <v>3</v>
      </c>
      <c r="BQ5" s="1480">
        <f ca="1">IF($BD$1&lt;=7,[10]clt!Y14,[10]clt!BS14)</f>
        <v>1</v>
      </c>
      <c r="BR5" s="1480">
        <f ca="1">IF($BD$1&lt;=7,[10]clt!Z14,[10]clt!BT14)</f>
        <v>3</v>
      </c>
      <c r="BS5" s="1480">
        <f ca="1">IF($BD$1&lt;=7,[10]clt!AA14,[10]clt!BU14)</f>
        <v>51</v>
      </c>
      <c r="BT5" s="1480">
        <f ca="1">IF($BD$1&lt;=7,[10]clt!AB14,[10]clt!BV14)</f>
        <v>47</v>
      </c>
      <c r="BU5" s="299"/>
      <c r="BV5" s="1531" t="str">
        <f>BC13</f>
        <v>MTT 3:  D2     E</v>
      </c>
      <c r="BW5" s="1531" t="b">
        <f ca="1">[10]cal.Ph1!B81</f>
        <v>0</v>
      </c>
      <c r="BX5" s="1532"/>
      <c r="BY5" s="561">
        <f ca="1">IF($BD$1&lt;=7,COUNTIF($C5:$I5,"1")+RAND()*0.0001,COUNTIF($J5:$P5,"1")+RAND()*0.0001)</f>
        <v>6.0000072518329928</v>
      </c>
      <c r="BZ5" s="561" t="str">
        <f ca="1">IF(BY5&lt;1,"",AX5)</f>
        <v>Brient Jean-François</v>
      </c>
      <c r="CA5" s="561">
        <f ca="1">IF($BD$1&lt;=7,COUNTIF($C5:$I5,"2")+RAND()*0.0001,COUNTIF($J5:$P5,"2")+RAND()*0.0001)</f>
        <v>3.7312284197180083E-5</v>
      </c>
      <c r="CB5" s="561" t="str">
        <f ca="1">IF(CA5&lt;1,"",AX5)</f>
        <v/>
      </c>
      <c r="CC5" s="561">
        <f ca="1">IF($BD$1&lt;=7,COUNTIF($C5:$I5,"3")+RAND()*0.0001,COUNTIF($J5:$P5,"3")+RAND()*0.0001)</f>
        <v>6.5940535012341435E-6</v>
      </c>
      <c r="CD5" s="561" t="str">
        <f ca="1">IF(CC5&lt;1,"",AX5)</f>
        <v/>
      </c>
      <c r="CE5" s="561">
        <f ca="1">IF($BD$1&lt;=7,COUNTIF($C5:$I5,"4")+RAND()*0.0001,COUNTIF($J5:$P5,"4")+RAND()*0.0001)</f>
        <v>7.4738665642252664E-5</v>
      </c>
      <c r="CF5" s="561" t="str">
        <f ca="1">IF(CE5&lt;1,"",AX5)</f>
        <v/>
      </c>
      <c r="CG5" s="561">
        <f ca="1">IF($BD$1&lt;=7,COUNTIF($C5:$I5,"5")+RAND()*0.0001,COUNTIF($J5:$P5,"5")+RAND()*0.0001)</f>
        <v>1.0309049825108419E-5</v>
      </c>
      <c r="CH5" s="561" t="str">
        <f ca="1">IF(CG5&lt;1,"",AX5)</f>
        <v/>
      </c>
      <c r="CI5" s="561">
        <f ca="1">IF($BD$1&lt;=7,COUNTIF($C5:$I5,"6")+RAND()*0.0001,COUNTIF($J5:$P5,"6")+RAND()*0.0001)</f>
        <v>9.8448977252697239E-5</v>
      </c>
      <c r="CJ5" s="561" t="str">
        <f ca="1">IF(CI5&lt;1,"",AX5)</f>
        <v/>
      </c>
      <c r="CK5" s="561">
        <f ca="1">IF($BD$1&lt;=7,COUNTIF($C5:$I5,"7")+RAND()*0.0001,COUNTIF($J5:$P5,"7")+RAND()*0.0001)</f>
        <v>1.2300842208285113E-5</v>
      </c>
      <c r="CL5" s="561" t="str">
        <f ca="1">IF(CK5&lt;1,"",AX5)</f>
        <v/>
      </c>
      <c r="CM5" s="561">
        <f ca="1">IF($BD$1&lt;=7,COUNTIF($C5:$I5,"8")+RAND()*0.0001,COUNTIF($J5:$P5,"8")+RAND()*0.0001)</f>
        <v>9.8775588675344624E-5</v>
      </c>
      <c r="CN5" s="561" t="str">
        <f ca="1">IF(CM5&lt;1,"",AX5)</f>
        <v/>
      </c>
      <c r="CO5" s="1530">
        <v>4</v>
      </c>
      <c r="CP5" s="1401">
        <f ca="1">AE5+RAND()*0.01</f>
        <v>12.004847014279441</v>
      </c>
      <c r="CQ5" s="1433">
        <f>VLOOKUP(C5,$CO$2:$DF$11,18,FALSE)</f>
        <v>3</v>
      </c>
      <c r="CR5" s="1433">
        <f>VLOOKUP(D5,$CO$2:$DF$11,18,FALSE)</f>
        <v>3</v>
      </c>
      <c r="CS5" s="1433">
        <f>VLOOKUP(E5,$CO$2:$DF$11,18,FALSE)</f>
        <v>3</v>
      </c>
      <c r="CT5" s="1433">
        <f>VLOOKUP(F5,$CO$2:$DF$11,18,FALSE)</f>
        <v>3</v>
      </c>
      <c r="CU5" s="1433">
        <f>VLOOKUP(G5,$CO$2:$DF$11,18,FALSE)</f>
        <v>3</v>
      </c>
      <c r="CV5" s="1433">
        <f>VLOOKUP(H5,$CO$2:$DF$11,18,FALSE)</f>
        <v>3</v>
      </c>
      <c r="CW5" s="1433">
        <f>VLOOKUP(I5,$CO$2:$DF$11,18,FALSE)</f>
        <v>0</v>
      </c>
      <c r="CX5" s="1433">
        <f>VLOOKUP(J5,$CO$2:$DF$11,18,FALSE)</f>
        <v>3</v>
      </c>
      <c r="CY5" s="1433">
        <f>VLOOKUP(K5,$CO$2:$DF$11,18,FALSE)</f>
        <v>3</v>
      </c>
      <c r="CZ5" s="1433">
        <f>VLOOKUP(L5,$CO$2:$DF$11,18,FALSE)</f>
        <v>3</v>
      </c>
      <c r="DA5" s="1433">
        <f>VLOOKUP(M5,$CO$2:$DF$11,18,FALSE)</f>
        <v>3</v>
      </c>
      <c r="DB5" s="1433">
        <f>VLOOKUP(N5,$CO$2:$DF$11,18,FALSE)</f>
        <v>3</v>
      </c>
      <c r="DC5" s="1433">
        <f>VLOOKUP(O5,$CO$2:$DF$11,18,FALSE)</f>
        <v>0</v>
      </c>
      <c r="DD5" s="1433">
        <f>VLOOKUP(P5,$CO$2:$DF$11,18,FALSE)</f>
        <v>3</v>
      </c>
      <c r="DE5" s="1432">
        <f ca="1">IF(AND(DI5=0,A5=""),AL5,IF(DI5=0,AL5+VLOOKUP(AX5,[10]Critérium!$AC$49:$DE$100,81,FALSE),AL5+VLOOKUP(AX5,[10]Critérium!$B$6:$T$22,19,FALSE)+VLOOKUP(AX5,[10]Critérium!$AC$49:$DE$100,81,FALSE)))</f>
        <v>61</v>
      </c>
      <c r="DF5" s="1530">
        <f>[10]équipes!N17</f>
        <v>3</v>
      </c>
      <c r="DG5" s="1429">
        <f ca="1">IF(AND(DI5=0,A5=""),AM5,IF(DI5=0,AM5+VLOOKUP(AX5,[10]Critérium!$AC$49:$DH$100,84,FALSE),AM5+VLOOKUP(AX5,[10]Critérium!$B$6:$V$22,21,FALSE)+VLOOKUP(AX5,[10]Critérium!$AC$49:$DH$100,84,FALSE)))</f>
        <v>68</v>
      </c>
      <c r="DH5" s="1430">
        <f ca="1">IF(DG5=0,0,(DE5/DG5+RAND()*0.0001))</f>
        <v>0.89715504952886871</v>
      </c>
      <c r="DI5" s="1429" t="str">
        <f>VLOOKUP(AX5,[10]liste!AN:AR,5,FALSE)</f>
        <v>x</v>
      </c>
      <c r="DJ5" s="1427">
        <f ca="1">DG5+RAND()</f>
        <v>68.00634524994642</v>
      </c>
      <c r="DK5" s="1427" t="str">
        <f>A5</f>
        <v>Brient Jean-François</v>
      </c>
      <c r="DL5" s="1427"/>
      <c r="DM5" s="1428">
        <f>HLOOKUP($DM$1,$C$1:$P$70,5,FALSE)</f>
        <v>1</v>
      </c>
      <c r="DN5" s="1428">
        <f>HLOOKUP($DN$1,$Q$1:$AD$70,5,FALSE)</f>
        <v>3</v>
      </c>
      <c r="DO5" s="1401"/>
      <c r="DP5" s="1401"/>
      <c r="DR5" s="1400">
        <f>IF(SUM(C5:P5)=0,0,(AE5*10/SUM(C5:P5)/2)*AE5/21)</f>
        <v>2.8571428571428572</v>
      </c>
      <c r="DT5" s="299"/>
      <c r="DU5" s="299"/>
      <c r="DV5" s="299"/>
      <c r="DW5" s="299"/>
      <c r="DX5" s="299"/>
      <c r="DY5" s="299"/>
      <c r="DZ5" s="299"/>
      <c r="EA5" s="299"/>
    </row>
    <row r="6" spans="1:131" ht="21.95" customHeight="1">
      <c r="A6" s="1540" t="str">
        <f>[10]points!B35</f>
        <v>Morin Quentin</v>
      </c>
      <c r="B6" s="1539">
        <v>2</v>
      </c>
      <c r="C6" s="1537">
        <v>3</v>
      </c>
      <c r="D6" s="1537">
        <v>3</v>
      </c>
      <c r="E6" s="1537">
        <v>3</v>
      </c>
      <c r="F6" s="1537">
        <v>3</v>
      </c>
      <c r="G6" s="1537">
        <v>3</v>
      </c>
      <c r="H6" s="1537">
        <v>3</v>
      </c>
      <c r="I6" s="1538">
        <v>3</v>
      </c>
      <c r="J6" s="1537">
        <v>2</v>
      </c>
      <c r="K6" s="1537">
        <v>4</v>
      </c>
      <c r="L6" s="1537">
        <v>2</v>
      </c>
      <c r="M6" s="1537">
        <v>2</v>
      </c>
      <c r="N6" s="1537">
        <v>2</v>
      </c>
      <c r="O6" s="1537">
        <v>2</v>
      </c>
      <c r="P6" s="1536">
        <v>1</v>
      </c>
      <c r="Q6" s="1472">
        <v>3</v>
      </c>
      <c r="R6" s="1471">
        <v>3</v>
      </c>
      <c r="S6" s="1471">
        <v>1</v>
      </c>
      <c r="T6" s="1471">
        <v>1</v>
      </c>
      <c r="U6" s="1471">
        <v>1</v>
      </c>
      <c r="V6" s="1471">
        <v>2</v>
      </c>
      <c r="W6" s="1473">
        <v>2</v>
      </c>
      <c r="X6" s="1472">
        <v>1</v>
      </c>
      <c r="Y6" s="1471">
        <v>2</v>
      </c>
      <c r="Z6" s="1471">
        <v>1</v>
      </c>
      <c r="AA6" s="1471">
        <v>0</v>
      </c>
      <c r="AB6" s="1471">
        <v>2</v>
      </c>
      <c r="AC6" s="1471">
        <v>2</v>
      </c>
      <c r="AD6" s="1471">
        <v>0</v>
      </c>
      <c r="AE6" s="1535">
        <f>IF(B6="","",COUNTIF(C6:P6,"&gt;0"))</f>
        <v>14</v>
      </c>
      <c r="AF6" s="1533">
        <f>SUM(Q6:W6)</f>
        <v>13</v>
      </c>
      <c r="AG6" s="1470">
        <f>SUM(CQ6:CW6)</f>
        <v>21</v>
      </c>
      <c r="AH6" s="1469">
        <f ca="1">IF(AG6=0,"X",IF(AG6&lt;LARGE(AG$2:AG$70,1)/3,"NS",RAND()*0.00001+AF6/AG6))</f>
        <v>0.61905079772450022</v>
      </c>
      <c r="AI6" s="1533">
        <f>SUM(X6:AD6)</f>
        <v>8</v>
      </c>
      <c r="AJ6" s="1533">
        <f>SUM(CX6:DD6)</f>
        <v>21</v>
      </c>
      <c r="AK6" s="1534">
        <f ca="1">IF(AJ6=0,"X",IF(AJ6&lt;LARGE(AJ$2:AJ$70,1)/4,"NS",RAND()*0.00001+AI6/AJ6))</f>
        <v>0.38095253093080467</v>
      </c>
      <c r="AL6" s="1533">
        <f>SUM(Q6:AD6)</f>
        <v>21</v>
      </c>
      <c r="AM6" s="1533">
        <f>SUM(CQ6:DD6)</f>
        <v>42</v>
      </c>
      <c r="AN6" s="1469">
        <f ca="1">IF(AM6=0,"X",IF(AM6&lt;LARGE(AM$2:AM$70,1)/3,"NS",RAND()*0.00001+AL6/AM6))</f>
        <v>0.50000500185574548</v>
      </c>
      <c r="AO6" s="1437">
        <f ca="1">IF(B6="",10,B6+RAND()*0.01)</f>
        <v>2.0089599252318613</v>
      </c>
      <c r="AP6" s="1437">
        <f ca="1">IF(AND(C6="",J6=""),"e",IF(J6="",IF($BD$1&lt;=7,C6+RAND()*0.01,"e"),J6+RAND()*0.01))</f>
        <v>2.0065889872149185</v>
      </c>
      <c r="AQ6" s="1437">
        <f ca="1">IF(AND(D6="",K6=""),"e",IF(K6="",IF($BD$1&lt;=7,D6+RAND()*0.01,"e"),K6+RAND()*0.01))</f>
        <v>4.0036804436914926</v>
      </c>
      <c r="AR6" s="1437">
        <f ca="1">IF(AND(E6="",L6=""),"e",IF(L6="",IF($BD$1&lt;=7,E6+RAND()*0.01,"e"),L6+RAND()*0.01))</f>
        <v>2.0034176827526742</v>
      </c>
      <c r="AS6" s="1437">
        <f ca="1">IF(AND(F6="",M6=""),"e",IF(M6="",IF($BD$1&lt;=7,F6+RAND()*0.01,"e"),M6+RAND()*0.01))</f>
        <v>2.0030225339792502</v>
      </c>
      <c r="AT6" s="1437">
        <f ca="1">IF(AND(G6="",N6=""),"e",IF(N6="",IF($BD$1&lt;=7,G6+RAND()*0.01,"e"),N6+RAND()*0.01))</f>
        <v>2.0088848112327047</v>
      </c>
      <c r="AU6" s="1437">
        <f ca="1">IF(AND(H6="",O6=""),"e",IF(O6="",IF($BD$1&lt;=7,H6+RAND()*0.01,"e"),O6+RAND()*0.01))</f>
        <v>2.0022057106982345</v>
      </c>
      <c r="AV6" s="1437">
        <f ca="1">IF(AND(I6="",P6=""),"e",IF(P6="",IF($BD$1&lt;=7,I6+RAND()*0.01,"e"),P6+RAND()*0.01))</f>
        <v>1.0063001854513265</v>
      </c>
      <c r="AW6" s="1437"/>
      <c r="AX6" s="1436" t="str">
        <f>A6</f>
        <v>Morin Quentin</v>
      </c>
      <c r="AY6" s="1580" t="str">
        <f>IF(OR($H$2&gt;0,$H$3&gt;0,$H$4&gt;0,$H$5&gt;0,$H$6&gt;0,$H$7&gt;0,$H$8&gt;0,$H$2&gt;0),"",IF(COUNTIF(C6:H6,"")&gt;=5,"",IF(COUNTIF(C6:H6,SMALL(C6:H6,1))&gt;=2,SMALL(C6:H6,1),SMALL(C6:H6,2))))</f>
        <v/>
      </c>
      <c r="AZ6" s="1581">
        <f>IF(COUNTIF(J6:O6,"")&gt;=5,"",IF(COUNTIF(J6:O6,SMALL(J6:O6,1))&gt;=2,SMALL(J6:O6,1),SMALL(J6:O6,2)))</f>
        <v>2</v>
      </c>
      <c r="BA6" s="1401"/>
      <c r="BB6" s="1482">
        <f ca="1">IF(ROUND(BD6,0)=ROUND(BD5,0),"-",4)</f>
        <v>4</v>
      </c>
      <c r="BC6" s="1478" t="str">
        <f ca="1">IF($BD$1&lt;=7,[10]clt!U6,[10]clt!BO6)</f>
        <v>LE FOLGOET/LESNEVEN 1</v>
      </c>
      <c r="BD6" s="1481">
        <f ca="1">IF($BD$1&lt;=7,[10]clt!V6,[10]clt!BP6)</f>
        <v>15.000012378984755</v>
      </c>
      <c r="BE6" s="1480">
        <f ca="1">IF($BD$1&lt;=7,[10]clt!W6,[10]clt!BQ6)</f>
        <v>7</v>
      </c>
      <c r="BF6" s="1480">
        <f ca="1">IF($BD$1&lt;=7,[10]clt!X6,[10]clt!BR6)</f>
        <v>4</v>
      </c>
      <c r="BG6" s="1480">
        <f ca="1">IF($BD$1&lt;=7,[10]clt!Y6,[10]clt!BS6)</f>
        <v>0</v>
      </c>
      <c r="BH6" s="1480">
        <f ca="1">IF($BD$1&lt;=7,[10]clt!Z6,[10]clt!BT6)</f>
        <v>3</v>
      </c>
      <c r="BI6" s="1480">
        <f ca="1">IF($BD$1&lt;=7,[10]clt!AA6,[10]clt!BU6)</f>
        <v>45</v>
      </c>
      <c r="BJ6" s="1480">
        <f ca="1">IF($BD$1&lt;=7,[10]clt!AB6,[10]clt!BV6)</f>
        <v>53</v>
      </c>
      <c r="BK6" s="156"/>
      <c r="BL6" s="1482">
        <f ca="1">IF(ROUND(BN6,0)=ROUND(BN5,0),"-",4)</f>
        <v>4</v>
      </c>
      <c r="BM6" s="1478" t="str">
        <f ca="1">IF($BD$1&lt;=7,[10]clt!U15,[10]clt!BO15)</f>
        <v>AJK VANNES 4</v>
      </c>
      <c r="BN6" s="1481">
        <f ca="1">IF($BD$1&lt;=7,[10]clt!V15,[10]clt!BP15)</f>
        <v>13.000069737162175</v>
      </c>
      <c r="BO6" s="1480">
        <f ca="1">IF($BD$1&lt;=7,[10]clt!W15,[10]clt!BQ15)</f>
        <v>7</v>
      </c>
      <c r="BP6" s="1480">
        <f ca="1">IF($BD$1&lt;=7,[10]clt!X15,[10]clt!BR15)</f>
        <v>3</v>
      </c>
      <c r="BQ6" s="1480">
        <f ca="1">IF($BD$1&lt;=7,[10]clt!Y15,[10]clt!BS15)</f>
        <v>0</v>
      </c>
      <c r="BR6" s="1480">
        <f ca="1">IF($BD$1&lt;=7,[10]clt!Z15,[10]clt!BT15)</f>
        <v>4</v>
      </c>
      <c r="BS6" s="1480">
        <f ca="1">IF($BD$1&lt;=7,[10]clt!AA15,[10]clt!BU15)</f>
        <v>49</v>
      </c>
      <c r="BT6" s="1480">
        <f ca="1">IF($BD$1&lt;=7,[10]clt!AB15,[10]clt!BV15)</f>
        <v>49</v>
      </c>
      <c r="BU6" s="299"/>
      <c r="BV6" s="1531" t="str">
        <f>BM13</f>
        <v>MTT 4:  D2     D</v>
      </c>
      <c r="BW6" s="1531" t="b">
        <f ca="1">[10]cal.Ph1!B82</f>
        <v>0</v>
      </c>
      <c r="BX6" s="1532"/>
      <c r="BY6" s="561">
        <f ca="1">IF($BD$1&lt;=7,COUNTIF($C6:$I6,"1")+RAND()*0.0001,COUNTIF($J6:$P6,"1")+RAND()*0.0001)</f>
        <v>1.0000612966885156</v>
      </c>
      <c r="BZ6" s="561" t="str">
        <f ca="1">IF(BY6&lt;1,"",AX6)</f>
        <v>Morin Quentin</v>
      </c>
      <c r="CA6" s="561">
        <f ca="1">IF($BD$1&lt;=7,COUNTIF($C6:$I6,"2")+RAND()*0.0001,COUNTIF($J6:$P6,"2")+RAND()*0.0001)</f>
        <v>5.0000130672666936</v>
      </c>
      <c r="CB6" s="561" t="str">
        <f ca="1">IF(CA6&lt;1,"",AX6)</f>
        <v>Morin Quentin</v>
      </c>
      <c r="CC6" s="561">
        <f ca="1">IF($BD$1&lt;=7,COUNTIF($C6:$I6,"3")+RAND()*0.0001,COUNTIF($J6:$P6,"3")+RAND()*0.0001)</f>
        <v>1.631345550602934E-5</v>
      </c>
      <c r="CD6" s="561" t="str">
        <f ca="1">IF(CC6&lt;1,"",AX6)</f>
        <v/>
      </c>
      <c r="CE6" s="561">
        <f ca="1">IF($BD$1&lt;=7,COUNTIF($C6:$I6,"4")+RAND()*0.0001,COUNTIF($J6:$P6,"4")+RAND()*0.0001)</f>
        <v>1.0000932240625033</v>
      </c>
      <c r="CF6" s="561" t="str">
        <f ca="1">IF(CE6&lt;1,"",AX6)</f>
        <v>Morin Quentin</v>
      </c>
      <c r="CG6" s="561">
        <f ca="1">IF($BD$1&lt;=7,COUNTIF($C6:$I6,"5")+RAND()*0.0001,COUNTIF($J6:$P6,"5")+RAND()*0.0001)</f>
        <v>4.7164018643964659E-5</v>
      </c>
      <c r="CH6" s="561" t="str">
        <f ca="1">IF(CG6&lt;1,"",AX6)</f>
        <v/>
      </c>
      <c r="CI6" s="561">
        <f ca="1">IF($BD$1&lt;=7,COUNTIF($C6:$I6,"6")+RAND()*0.0001,COUNTIF($J6:$P6,"6")+RAND()*0.0001)</f>
        <v>7.2489027504624355E-5</v>
      </c>
      <c r="CJ6" s="561" t="str">
        <f ca="1">IF(CI6&lt;1,"",AX6)</f>
        <v/>
      </c>
      <c r="CK6" s="561">
        <f ca="1">IF($BD$1&lt;=7,COUNTIF($C6:$I6,"7")+RAND()*0.0001,COUNTIF($J6:$P6,"7")+RAND()*0.0001)</f>
        <v>4.9516503033319085E-5</v>
      </c>
      <c r="CL6" s="561" t="str">
        <f ca="1">IF(CK6&lt;1,"",AX6)</f>
        <v/>
      </c>
      <c r="CM6" s="561">
        <f ca="1">IF($BD$1&lt;=7,COUNTIF($C6:$I6,"8")+RAND()*0.0001,COUNTIF($J6:$P6,"8")+RAND()*0.0001)</f>
        <v>1.8885190020725473E-5</v>
      </c>
      <c r="CN6" s="561" t="str">
        <f ca="1">IF(CM6&lt;1,"",AX6)</f>
        <v/>
      </c>
      <c r="CO6" s="1530">
        <v>5</v>
      </c>
      <c r="CP6" s="1401">
        <f ca="1">AE6+RAND()*0.01</f>
        <v>14.007743923121426</v>
      </c>
      <c r="CQ6" s="1433">
        <f>VLOOKUP(C6,$CO$2:$DF$11,18,FALSE)</f>
        <v>3</v>
      </c>
      <c r="CR6" s="1433">
        <f>VLOOKUP(D6,$CO$2:$DF$11,18,FALSE)</f>
        <v>3</v>
      </c>
      <c r="CS6" s="1433">
        <f>VLOOKUP(E6,$CO$2:$DF$11,18,FALSE)</f>
        <v>3</v>
      </c>
      <c r="CT6" s="1433">
        <f>VLOOKUP(F6,$CO$2:$DF$11,18,FALSE)</f>
        <v>3</v>
      </c>
      <c r="CU6" s="1433">
        <f>VLOOKUP(G6,$CO$2:$DF$11,18,FALSE)</f>
        <v>3</v>
      </c>
      <c r="CV6" s="1433">
        <f>VLOOKUP(H6,$CO$2:$DF$11,18,FALSE)</f>
        <v>3</v>
      </c>
      <c r="CW6" s="1433">
        <f>VLOOKUP(I6,$CO$2:$DF$11,18,FALSE)</f>
        <v>3</v>
      </c>
      <c r="CX6" s="1433">
        <f>VLOOKUP(J6,$CO$2:$DF$11,18,FALSE)</f>
        <v>3</v>
      </c>
      <c r="CY6" s="1433">
        <f>VLOOKUP(K6,$CO$2:$DF$11,18,FALSE)</f>
        <v>3</v>
      </c>
      <c r="CZ6" s="1433">
        <f>VLOOKUP(L6,$CO$2:$DF$11,18,FALSE)</f>
        <v>3</v>
      </c>
      <c r="DA6" s="1433">
        <f>VLOOKUP(M6,$CO$2:$DF$11,18,FALSE)</f>
        <v>3</v>
      </c>
      <c r="DB6" s="1433">
        <f>VLOOKUP(N6,$CO$2:$DF$11,18,FALSE)</f>
        <v>3</v>
      </c>
      <c r="DC6" s="1433">
        <f>VLOOKUP(O6,$CO$2:$DF$11,18,FALSE)</f>
        <v>3</v>
      </c>
      <c r="DD6" s="1433">
        <f>VLOOKUP(P6,$CO$2:$DF$11,18,FALSE)</f>
        <v>3</v>
      </c>
      <c r="DE6" s="1432">
        <f ca="1">IF(AND(DI6=0,A6=""),AL6,IF(DI6=0,AL6+VLOOKUP(AX6,[10]Critérium!$AC$49:$DE$100,81,FALSE),AL6+VLOOKUP(AX6,[10]Critérium!$B$6:$T$22,19,FALSE)+VLOOKUP(AX6,[10]Critérium!$AC$49:$DE$100,81,FALSE)))</f>
        <v>55</v>
      </c>
      <c r="DF6" s="1530">
        <f>[10]équipes!N18</f>
        <v>3</v>
      </c>
      <c r="DG6" s="1429">
        <f ca="1">IF(AND(DI6=0,A6=""),AM6,IF(DI6=0,AM6+VLOOKUP(AX6,[10]Critérium!$AC$49:$DH$100,84,FALSE),AM6+VLOOKUP(AX6,[10]Critérium!$B$6:$V$22,21,FALSE)+VLOOKUP(AX6,[10]Critérium!$AC$49:$DH$100,84,FALSE)))</f>
        <v>94</v>
      </c>
      <c r="DH6" s="1430">
        <f ca="1">IF(DG6=0,0,(DE6/DG6+RAND()*0.0001))</f>
        <v>0.5852046310653819</v>
      </c>
      <c r="DI6" s="1429" t="str">
        <f>VLOOKUP(AX6,[10]liste!AN:AR,5,FALSE)</f>
        <v>x</v>
      </c>
      <c r="DJ6" s="1427">
        <f ca="1">DG6+RAND()</f>
        <v>94.139720578448461</v>
      </c>
      <c r="DK6" s="1427" t="str">
        <f>A6</f>
        <v>Morin Quentin</v>
      </c>
      <c r="DL6" s="1427"/>
      <c r="DM6" s="1428">
        <f>HLOOKUP($DM$1,$C$1:$P$70,6,FALSE)</f>
        <v>1</v>
      </c>
      <c r="DN6" s="1428">
        <f>HLOOKUP($DN$1,$Q$1:$AD$70,6,FALSE)</f>
        <v>0</v>
      </c>
      <c r="DO6" s="1401"/>
      <c r="DP6" s="1401"/>
      <c r="DR6" s="1400">
        <f>IF(SUM(C6:P6)=0,0,(AE6*10/SUM(C6:P6)/2)*AE6/21)</f>
        <v>1.2962962962962963</v>
      </c>
      <c r="DT6" s="299"/>
      <c r="DU6" s="299"/>
      <c r="DV6" s="299"/>
      <c r="DW6" s="299"/>
      <c r="DX6" s="299"/>
      <c r="DY6" s="299"/>
      <c r="DZ6" s="299"/>
      <c r="EA6" s="299"/>
    </row>
    <row r="7" spans="1:131" s="1427" customFormat="1" ht="21.95" customHeight="1">
      <c r="A7" s="1477" t="str">
        <f>[10]points!B28</f>
        <v>Roszak Martin</v>
      </c>
      <c r="B7" s="1476">
        <v>2</v>
      </c>
      <c r="C7" s="1428">
        <v>3</v>
      </c>
      <c r="D7" s="1428">
        <v>3</v>
      </c>
      <c r="E7" s="1428"/>
      <c r="F7" s="1428">
        <v>3</v>
      </c>
      <c r="G7" s="1428">
        <v>3</v>
      </c>
      <c r="H7" s="1428">
        <v>3</v>
      </c>
      <c r="I7" s="1475">
        <v>3</v>
      </c>
      <c r="J7" s="1428">
        <v>2</v>
      </c>
      <c r="K7" s="1428">
        <v>2</v>
      </c>
      <c r="L7" s="1428">
        <v>2</v>
      </c>
      <c r="M7" s="1428">
        <v>2</v>
      </c>
      <c r="N7" s="1428">
        <v>2</v>
      </c>
      <c r="O7" s="1428">
        <v>2</v>
      </c>
      <c r="P7" s="1474">
        <v>2</v>
      </c>
      <c r="Q7" s="1472">
        <v>3</v>
      </c>
      <c r="R7" s="1471">
        <v>3</v>
      </c>
      <c r="S7" s="1471"/>
      <c r="T7" s="1471">
        <v>3</v>
      </c>
      <c r="U7" s="1471">
        <v>1</v>
      </c>
      <c r="V7" s="1471">
        <v>3</v>
      </c>
      <c r="W7" s="1473">
        <v>3</v>
      </c>
      <c r="X7" s="1472">
        <v>2</v>
      </c>
      <c r="Y7" s="1471">
        <v>2</v>
      </c>
      <c r="Z7" s="1471">
        <v>2</v>
      </c>
      <c r="AA7" s="1471">
        <v>0</v>
      </c>
      <c r="AB7" s="1471">
        <v>1</v>
      </c>
      <c r="AC7" s="1471">
        <v>1</v>
      </c>
      <c r="AD7" s="1471">
        <v>1</v>
      </c>
      <c r="AE7" s="1458">
        <f>IF(B7="","",COUNTIF(C7:P7,"&gt;0"))</f>
        <v>13</v>
      </c>
      <c r="AF7" s="1470">
        <f>SUM(Q7:W7)</f>
        <v>16</v>
      </c>
      <c r="AG7" s="1470">
        <f>SUM(CQ7:CW7)</f>
        <v>18</v>
      </c>
      <c r="AH7" s="1469">
        <f ca="1">IF(AG7=0,"X",IF(AG7&lt;LARGE(AG$2:AG$70,1)/3,"NS",RAND()*0.00001+AF7/AG7))</f>
        <v>0.88889195513141361</v>
      </c>
      <c r="AI7" s="1470">
        <f>SUM(X7:AD7)</f>
        <v>9</v>
      </c>
      <c r="AJ7" s="1470">
        <f>SUM(CX7:DD7)</f>
        <v>21</v>
      </c>
      <c r="AK7" s="1469">
        <f ca="1">IF(AJ7=0,"X",IF(AJ7&lt;LARGE(AJ$2:AJ$70,1)/4,"NS",RAND()*0.00001+AI7/AJ7))</f>
        <v>0.4285777693838006</v>
      </c>
      <c r="AL7" s="1470">
        <f>SUM(Q7:AD7)</f>
        <v>25</v>
      </c>
      <c r="AM7" s="1470">
        <f>SUM(CQ7:DD7)</f>
        <v>39</v>
      </c>
      <c r="AN7" s="1469">
        <f ca="1">IF(AM7=0,"X",IF(AM7&lt;LARGE(AM$2:AM$70,1)/3,"NS",RAND()*0.00001+AL7/AM7))</f>
        <v>0.64102900866541324</v>
      </c>
      <c r="AO7" s="1437">
        <f ca="1">IF(B7="",10,B7+RAND()*0.01)</f>
        <v>2.0005941154604687</v>
      </c>
      <c r="AP7" s="1437">
        <f ca="1">IF(AND(C7="",J7=""),"e",IF(J7="",IF($BD$1&lt;=7,C7+RAND()*0.01,"e"),J7+RAND()*0.01))</f>
        <v>2.0017379704937661</v>
      </c>
      <c r="AQ7" s="1437">
        <f ca="1">IF(AND(D7="",K7=""),"e",IF(K7="",IF($BD$1&lt;=7,D7+RAND()*0.01,"e"),K7+RAND()*0.01))</f>
        <v>2.0044383653237552</v>
      </c>
      <c r="AR7" s="1437">
        <f ca="1">IF(AND(E7="",L7=""),"e",IF(L7="",IF($BD$1&lt;=7,E7+RAND()*0.01,"e"),L7+RAND()*0.01))</f>
        <v>2.0074045793707351</v>
      </c>
      <c r="AS7" s="1437">
        <f ca="1">IF(AND(F7="",M7=""),"e",IF(M7="",IF($BD$1&lt;=7,F7+RAND()*0.01,"e"),M7+RAND()*0.01))</f>
        <v>2.0006201762067763</v>
      </c>
      <c r="AT7" s="1437">
        <f ca="1">IF(AND(G7="",N7=""),"e",IF(N7="",IF($BD$1&lt;=7,G7+RAND()*0.01,"e"),N7+RAND()*0.01))</f>
        <v>2.0020819779746954</v>
      </c>
      <c r="AU7" s="1437">
        <f ca="1">IF(AND(H7="",O7=""),"e",IF(O7="",IF($BD$1&lt;=7,H7+RAND()*0.01,"e"),O7+RAND()*0.01))</f>
        <v>2.0001319557946289</v>
      </c>
      <c r="AV7" s="1437">
        <f ca="1">IF(AND(I7="",P7=""),"e",IF(P7="",IF($BD$1&lt;=7,I7+RAND()*0.01,"e"),P7+RAND()*0.01))</f>
        <v>2.0046517471849308</v>
      </c>
      <c r="AW7" s="1437"/>
      <c r="AX7" s="1436" t="str">
        <f>A7</f>
        <v>Roszak Martin</v>
      </c>
      <c r="AY7" s="1580" t="str">
        <f>IF(OR($H$2&gt;0,$H$3&gt;0,$H$4&gt;0,$H$5&gt;0,$H$6&gt;0,$H$7&gt;0,$H$8&gt;0,$H$2&gt;0),"",IF(COUNTIF(C7:H7,"")&gt;=5,"",IF(COUNTIF(C7:H7,SMALL(C7:H7,1))&gt;=2,SMALL(C7:H7,1),SMALL(C7:H7,2))))</f>
        <v/>
      </c>
      <c r="AZ7" s="1581">
        <f>IF(COUNTIF(J7:O7,"")&gt;=5,"",IF(COUNTIF(J7:O7,SMALL(J7:O7,1))&gt;=2,SMALL(J7:O7,1),SMALL(J7:O7,2)))</f>
        <v>2</v>
      </c>
      <c r="BA7" s="1401"/>
      <c r="BB7" s="1482">
        <f ca="1">IF(ROUND(BD7,0)=ROUND(BD6,0),"-",5)</f>
        <v>5</v>
      </c>
      <c r="BC7" s="1478" t="str">
        <f ca="1">IF($BD$1&lt;=7,[10]clt!U7,[10]clt!BO7)</f>
        <v>RP FOUESNANT 5</v>
      </c>
      <c r="BD7" s="1481">
        <f ca="1">IF($BD$1&lt;=7,[10]clt!V7,[10]clt!BP7)</f>
        <v>11.000051023503774</v>
      </c>
      <c r="BE7" s="1480">
        <f ca="1">IF($BD$1&lt;=7,[10]clt!W7,[10]clt!BQ7)</f>
        <v>7</v>
      </c>
      <c r="BF7" s="1480">
        <f ca="1">IF($BD$1&lt;=7,[10]clt!X7,[10]clt!BR7)</f>
        <v>2</v>
      </c>
      <c r="BG7" s="1480">
        <f ca="1">IF($BD$1&lt;=7,[10]clt!Y7,[10]clt!BS7)</f>
        <v>0</v>
      </c>
      <c r="BH7" s="1480">
        <f ca="1">IF($BD$1&lt;=7,[10]clt!Z7,[10]clt!BT7)</f>
        <v>5</v>
      </c>
      <c r="BI7" s="1480">
        <f ca="1">IF($BD$1&lt;=7,[10]clt!AA7,[10]clt!BU7)</f>
        <v>43</v>
      </c>
      <c r="BJ7" s="1480">
        <f ca="1">IF($BD$1&lt;=7,[10]clt!AB7,[10]clt!BV7)</f>
        <v>55</v>
      </c>
      <c r="BK7" s="1401"/>
      <c r="BL7" s="1482" t="str">
        <f ca="1">IF(ROUND(BN7,0)=ROUND(BN6,0),"-",5)</f>
        <v>-</v>
      </c>
      <c r="BM7" s="1478" t="str">
        <f ca="1">IF($BD$1&lt;=7,[10]clt!U16,[10]clt!BO16)</f>
        <v>US ST-ABRAHAM 1</v>
      </c>
      <c r="BN7" s="1481">
        <f ca="1">IF($BD$1&lt;=7,[10]clt!V16,[10]clt!BP16)</f>
        <v>13.000042356690571</v>
      </c>
      <c r="BO7" s="1480">
        <f ca="1">IF($BD$1&lt;=7,[10]clt!W16,[10]clt!BQ16)</f>
        <v>7</v>
      </c>
      <c r="BP7" s="1480">
        <f ca="1">IF($BD$1&lt;=7,[10]clt!X16,[10]clt!BR16)</f>
        <v>2</v>
      </c>
      <c r="BQ7" s="1480">
        <f ca="1">IF($BD$1&lt;=7,[10]clt!Y16,[10]clt!BS16)</f>
        <v>2</v>
      </c>
      <c r="BR7" s="1480">
        <f ca="1">IF($BD$1&lt;=7,[10]clt!Z16,[10]clt!BT16)</f>
        <v>3</v>
      </c>
      <c r="BS7" s="1480">
        <f ca="1">IF($BD$1&lt;=7,[10]clt!AA16,[10]clt!BU16)</f>
        <v>43</v>
      </c>
      <c r="BT7" s="1480">
        <f ca="1">IF($BD$1&lt;=7,[10]clt!AB16,[10]clt!BV16)</f>
        <v>55</v>
      </c>
      <c r="BU7" s="1444"/>
      <c r="BV7" s="1531" t="str">
        <f>BC24</f>
        <v>MTT 5:  D3    E</v>
      </c>
      <c r="BW7" s="1531" t="b">
        <f ca="1">[10]cal.Ph1!B83</f>
        <v>0</v>
      </c>
      <c r="BX7" s="1532"/>
      <c r="BY7" s="561">
        <f ca="1">IF($BD$1&lt;=7,COUNTIF($C7:$I7,"1")+RAND()*0.0001,COUNTIF($J7:$P7,"1")+RAND()*0.0001)</f>
        <v>4.4620600489150832E-5</v>
      </c>
      <c r="BZ7" s="561" t="str">
        <f ca="1">IF(BY7&lt;1,"",AX7)</f>
        <v/>
      </c>
      <c r="CA7" s="561">
        <f ca="1">IF($BD$1&lt;=7,COUNTIF($C7:$I7,"2")+RAND()*0.0001,COUNTIF($J7:$P7,"2")+RAND()*0.0001)</f>
        <v>7.0000811604634281</v>
      </c>
      <c r="CB7" s="561" t="str">
        <f ca="1">IF(CA7&lt;1,"",AX7)</f>
        <v>Roszak Martin</v>
      </c>
      <c r="CC7" s="561">
        <f ca="1">IF($BD$1&lt;=7,COUNTIF($C7:$I7,"3")+RAND()*0.0001,COUNTIF($J7:$P7,"3")+RAND()*0.0001)</f>
        <v>4.0030659545227435E-5</v>
      </c>
      <c r="CD7" s="561" t="str">
        <f ca="1">IF(CC7&lt;1,"",AX7)</f>
        <v/>
      </c>
      <c r="CE7" s="561">
        <f ca="1">IF($BD$1&lt;=7,COUNTIF($C7:$I7,"4")+RAND()*0.0001,COUNTIF($J7:$P7,"4")+RAND()*0.0001)</f>
        <v>7.9268827158344159E-6</v>
      </c>
      <c r="CF7" s="561" t="str">
        <f ca="1">IF(CE7&lt;1,"",AX7)</f>
        <v/>
      </c>
      <c r="CG7" s="561">
        <f ca="1">IF($BD$1&lt;=7,COUNTIF($C7:$I7,"5")+RAND()*0.0001,COUNTIF($J7:$P7,"5")+RAND()*0.0001)</f>
        <v>2.4803518193376385E-5</v>
      </c>
      <c r="CH7" s="561" t="str">
        <f ca="1">IF(CG7&lt;1,"",AX7)</f>
        <v/>
      </c>
      <c r="CI7" s="561">
        <f ca="1">IF($BD$1&lt;=7,COUNTIF($C7:$I7,"6")+RAND()*0.0001,COUNTIF($J7:$P7,"6")+RAND()*0.0001)</f>
        <v>9.8494212406859228E-5</v>
      </c>
      <c r="CJ7" s="561" t="str">
        <f ca="1">IF(CI7&lt;1,"",AX7)</f>
        <v/>
      </c>
      <c r="CK7" s="561">
        <f ca="1">IF($BD$1&lt;=7,COUNTIF($C7:$I7,"7")+RAND()*0.0001,COUNTIF($J7:$P7,"7")+RAND()*0.0001)</f>
        <v>4.4889341548226548E-6</v>
      </c>
      <c r="CL7" s="561" t="str">
        <f ca="1">IF(CK7&lt;1,"",AX7)</f>
        <v/>
      </c>
      <c r="CM7" s="561">
        <f ca="1">IF($BD$1&lt;=7,COUNTIF($C7:$I7,"8")+RAND()*0.0001,COUNTIF($J7:$P7,"8")+RAND()*0.0001)</f>
        <v>9.6569783923475264E-5</v>
      </c>
      <c r="CN7" s="561" t="str">
        <f ca="1">IF(CM7&lt;1,"",AX7)</f>
        <v/>
      </c>
      <c r="CO7" s="1530">
        <v>6</v>
      </c>
      <c r="CP7" s="1401">
        <f ca="1">AE7+RAND()*0.01</f>
        <v>13.004472871611299</v>
      </c>
      <c r="CQ7" s="1433">
        <f>VLOOKUP(C7,$CO$2:$DF$11,18,FALSE)</f>
        <v>3</v>
      </c>
      <c r="CR7" s="1433">
        <f>VLOOKUP(D7,$CO$2:$DF$11,18,FALSE)</f>
        <v>3</v>
      </c>
      <c r="CS7" s="1433">
        <f>VLOOKUP(E7,$CO$2:$DF$11,18,FALSE)</f>
        <v>0</v>
      </c>
      <c r="CT7" s="1433">
        <f>VLOOKUP(F7,$CO$2:$DF$11,18,FALSE)</f>
        <v>3</v>
      </c>
      <c r="CU7" s="1433">
        <f>VLOOKUP(G7,$CO$2:$DF$11,18,FALSE)</f>
        <v>3</v>
      </c>
      <c r="CV7" s="1433">
        <f>VLOOKUP(H7,$CO$2:$DF$11,18,FALSE)</f>
        <v>3</v>
      </c>
      <c r="CW7" s="1433">
        <f>VLOOKUP(I7,$CO$2:$DF$11,18,FALSE)</f>
        <v>3</v>
      </c>
      <c r="CX7" s="1433">
        <f>VLOOKUP(J7,$CO$2:$DF$11,18,FALSE)</f>
        <v>3</v>
      </c>
      <c r="CY7" s="1433">
        <f>VLOOKUP(K7,$CO$2:$DF$11,18,FALSE)</f>
        <v>3</v>
      </c>
      <c r="CZ7" s="1433">
        <f>VLOOKUP(L7,$CO$2:$DF$11,18,FALSE)</f>
        <v>3</v>
      </c>
      <c r="DA7" s="1433">
        <f>VLOOKUP(M7,$CO$2:$DF$11,18,FALSE)</f>
        <v>3</v>
      </c>
      <c r="DB7" s="1433">
        <f>VLOOKUP(N7,$CO$2:$DF$11,18,FALSE)</f>
        <v>3</v>
      </c>
      <c r="DC7" s="1433">
        <f>VLOOKUP(O7,$CO$2:$DF$11,18,FALSE)</f>
        <v>3</v>
      </c>
      <c r="DD7" s="1433">
        <f>VLOOKUP(P7,$CO$2:$DF$11,18,FALSE)</f>
        <v>3</v>
      </c>
      <c r="DE7" s="1432">
        <f ca="1">IF(AND(DI7=0,A7=""),AL7,IF(DI7=0,AL7+VLOOKUP(AX7,[10]Critérium!$AC$49:$DE$100,81,FALSE),AL7+VLOOKUP(AX7,[10]Critérium!$B$6:$T$22,19,FALSE)+VLOOKUP(AX7,[10]Critérium!$AC$49:$DE$100,81,FALSE)))</f>
        <v>26</v>
      </c>
      <c r="DF7" s="1530">
        <f>[10]équipes!N19</f>
        <v>3</v>
      </c>
      <c r="DG7" s="1429">
        <f ca="1">IF(AND(DI7=0,A7=""),AM7,IF(DI7=0,AM7+VLOOKUP(AX7,[10]Critérium!$AC$49:$DH$100,84,FALSE),AM7+VLOOKUP(AX7,[10]Critérium!$B$6:$V$22,21,FALSE)+VLOOKUP(AX7,[10]Critérium!$AC$49:$DH$100,84,FALSE)))</f>
        <v>46</v>
      </c>
      <c r="DH7" s="1430">
        <f ca="1">IF(DG7=0,0,(DE7/DG7+RAND()*0.0001))</f>
        <v>0.56530619240312674</v>
      </c>
      <c r="DI7" s="1429">
        <f>VLOOKUP(AX7,[10]liste!AN:AR,5,FALSE)</f>
        <v>0</v>
      </c>
      <c r="DJ7" s="1427">
        <f ca="1">DG7+RAND()</f>
        <v>46.715793601008436</v>
      </c>
      <c r="DK7" s="1427" t="str">
        <f>A7</f>
        <v>Roszak Martin</v>
      </c>
      <c r="DM7" s="1428">
        <f>HLOOKUP($DM$1,$C$1:$P$70,7,FALSE)</f>
        <v>2</v>
      </c>
      <c r="DN7" s="1428">
        <f>HLOOKUP($DN$1,$Q$1:$AD$70,7,FALSE)</f>
        <v>1</v>
      </c>
      <c r="DO7" s="1401"/>
      <c r="DP7" s="1401"/>
      <c r="DQ7" s="1401"/>
      <c r="DR7" s="1400">
        <f>IF(SUM(C7:P7)=0,0,(AE7*10/SUM(C7:P7)/2)*AE7/21)</f>
        <v>1.2574404761904763</v>
      </c>
      <c r="DT7" s="1444"/>
      <c r="DU7" s="1444"/>
      <c r="DV7" s="1444"/>
      <c r="DW7" s="1444"/>
      <c r="DX7" s="1444"/>
      <c r="DY7" s="1444"/>
      <c r="DZ7" s="1444"/>
      <c r="EA7" s="1444"/>
    </row>
    <row r="8" spans="1:131" s="1427" customFormat="1" ht="21.95" customHeight="1">
      <c r="A8" s="1477" t="str">
        <f>[10]points!B20</f>
        <v>Nicolas Jérémy</v>
      </c>
      <c r="B8" s="1476">
        <v>2</v>
      </c>
      <c r="C8" s="1428">
        <v>3</v>
      </c>
      <c r="D8" s="1428">
        <v>3</v>
      </c>
      <c r="E8" s="1428">
        <v>3</v>
      </c>
      <c r="F8" s="1428">
        <v>3</v>
      </c>
      <c r="G8" s="1428">
        <v>3</v>
      </c>
      <c r="H8" s="1428">
        <v>3</v>
      </c>
      <c r="I8" s="1475">
        <v>3</v>
      </c>
      <c r="J8" s="1428">
        <v>1</v>
      </c>
      <c r="K8" s="1428">
        <v>2</v>
      </c>
      <c r="L8" s="1428">
        <v>2</v>
      </c>
      <c r="M8" s="1428">
        <v>1</v>
      </c>
      <c r="N8" s="1428">
        <v>1</v>
      </c>
      <c r="O8" s="1428">
        <v>1</v>
      </c>
      <c r="P8" s="1474">
        <v>1</v>
      </c>
      <c r="Q8" s="1472">
        <v>3</v>
      </c>
      <c r="R8" s="1471">
        <v>3</v>
      </c>
      <c r="S8" s="1471">
        <v>3</v>
      </c>
      <c r="T8" s="1471">
        <v>3</v>
      </c>
      <c r="U8" s="1471">
        <v>3</v>
      </c>
      <c r="V8" s="1471">
        <v>3</v>
      </c>
      <c r="W8" s="1473">
        <v>3</v>
      </c>
      <c r="X8" s="1472">
        <v>3</v>
      </c>
      <c r="Y8" s="1471">
        <v>2</v>
      </c>
      <c r="Z8" s="1471">
        <v>3</v>
      </c>
      <c r="AA8" s="1471">
        <v>0</v>
      </c>
      <c r="AB8" s="1471">
        <v>0</v>
      </c>
      <c r="AC8" s="1471">
        <v>3</v>
      </c>
      <c r="AD8" s="1471">
        <v>3</v>
      </c>
      <c r="AE8" s="1458">
        <f>IF(B8="","",COUNTIF(C8:P8,"&gt;0"))</f>
        <v>14</v>
      </c>
      <c r="AF8" s="1470">
        <f>SUM(Q8:W8)</f>
        <v>21</v>
      </c>
      <c r="AG8" s="1470">
        <f>SUM(CQ8:CW8)</f>
        <v>21</v>
      </c>
      <c r="AH8" s="1469">
        <f ca="1">IF(AG8=0,"X",IF(AG8&lt;LARGE(AG$2:AG$70,1)/3,"NS",RAND()*0.00001+AF8/AG8))</f>
        <v>1.0000078014135136</v>
      </c>
      <c r="AI8" s="1470">
        <f>SUM(X8:AD8)</f>
        <v>14</v>
      </c>
      <c r="AJ8" s="1470">
        <f>SUM(CX8:DD8)</f>
        <v>21</v>
      </c>
      <c r="AK8" s="1469">
        <f ca="1">IF(AJ8=0,"X",IF(AJ8&lt;LARGE(AJ$2:AJ$70,1)/4,"NS",RAND()*0.00001+AI8/AJ8))</f>
        <v>0.66666937561029338</v>
      </c>
      <c r="AL8" s="1470">
        <f>SUM(Q8:AD8)</f>
        <v>35</v>
      </c>
      <c r="AM8" s="1470">
        <f>SUM(CQ8:DD8)</f>
        <v>42</v>
      </c>
      <c r="AN8" s="1469">
        <f ca="1">IF(AM8=0,"X",IF(AM8&lt;LARGE(AM$2:AM$70,1)/3,"NS",RAND()*0.00001+AL8/AM8))</f>
        <v>0.83334028758948964</v>
      </c>
      <c r="AO8" s="1437">
        <f ca="1">IF(B8="",10,B8+RAND()*0.01)</f>
        <v>2.0045753152619064</v>
      </c>
      <c r="AP8" s="1437">
        <f ca="1">IF(AND(C8="",J8=""),"e",IF(J8="",IF($BD$1&lt;=7,C8+RAND()*0.01,"e"),J8+RAND()*0.01))</f>
        <v>1.0073767469143478</v>
      </c>
      <c r="AQ8" s="1437">
        <f ca="1">IF(AND(D8="",K8=""),"e",IF(K8="",IF($BD$1&lt;=7,D8+RAND()*0.01,"e"),K8+RAND()*0.01))</f>
        <v>2.0057639247647354</v>
      </c>
      <c r="AR8" s="1437">
        <f ca="1">IF(AND(E8="",L8=""),"e",IF(L8="",IF($BD$1&lt;=7,E8+RAND()*0.01,"e"),L8+RAND()*0.01))</f>
        <v>2.0039469702436921</v>
      </c>
      <c r="AS8" s="1437">
        <f ca="1">IF(AND(F8="",M8=""),"e",IF(M8="",IF($BD$1&lt;=7,F8+RAND()*0.01,"e"),M8+RAND()*0.01))</f>
        <v>1.0079458858014474</v>
      </c>
      <c r="AT8" s="1437">
        <f ca="1">IF(AND(G8="",N8=""),"e",IF(N8="",IF($BD$1&lt;=7,G8+RAND()*0.01,"e"),N8+RAND()*0.01))</f>
        <v>1.0092301554066041</v>
      </c>
      <c r="AU8" s="1437">
        <f ca="1">IF(AND(H8="",O8=""),"e",IF(O8="",IF($BD$1&lt;=7,H8+RAND()*0.01,"e"),O8+RAND()*0.01))</f>
        <v>1.0029795210466976</v>
      </c>
      <c r="AV8" s="1437">
        <f ca="1">IF(AND(I8="",P8=""),"e",IF(P8="",IF($BD$1&lt;=7,I8+RAND()*0.01,"e"),P8+RAND()*0.01))</f>
        <v>1.0073985415139801</v>
      </c>
      <c r="AW8" s="1437"/>
      <c r="AX8" s="1436" t="str">
        <f>A8</f>
        <v>Nicolas Jérémy</v>
      </c>
      <c r="AY8" s="1580" t="str">
        <f>IF(OR($H$2&gt;0,$H$3&gt;0,$H$4&gt;0,$H$5&gt;0,$H$6&gt;0,$H$7&gt;0,$H$8&gt;0,$H$2&gt;0),"",IF(COUNTIF(C8:H8,"")&gt;=5,"",IF(COUNTIF(C8:H8,SMALL(C8:H8,1))&gt;=2,SMALL(C8:H8,1),SMALL(C8:H8,2))))</f>
        <v/>
      </c>
      <c r="AZ8" s="1581">
        <f>IF(COUNTIF(J8:O8,"")&gt;=5,"",IF(COUNTIF(J8:O8,SMALL(J8:O8,1))&gt;=2,SMALL(J8:O8,1),SMALL(J8:O8,2)))</f>
        <v>1</v>
      </c>
      <c r="BA8" s="1401"/>
      <c r="BB8" s="1482" t="str">
        <f ca="1">IF(ROUND(BD8,0)=ROUND(BD7,0),"-",6)</f>
        <v>-</v>
      </c>
      <c r="BC8" s="1478" t="str">
        <f ca="1">IF($BD$1&lt;=7,[10]clt!U8,[10]clt!BO8)</f>
        <v>RENNES AVENIR 4</v>
      </c>
      <c r="BD8" s="1481">
        <f ca="1">IF($BD$1&lt;=7,[10]clt!V8,[10]clt!BP8)</f>
        <v>11.00003133503364</v>
      </c>
      <c r="BE8" s="1479">
        <f ca="1">IF($BD$1&lt;=7,[10]clt!W8,[10]clt!BQ8)</f>
        <v>7</v>
      </c>
      <c r="BF8" s="1479">
        <f ca="1">IF($BD$1&lt;=7,[10]clt!X8,[10]clt!BR8)</f>
        <v>1</v>
      </c>
      <c r="BG8" s="1480">
        <f ca="1">IF($BD$1&lt;=7,[10]clt!Y8,[10]clt!BS8)</f>
        <v>2</v>
      </c>
      <c r="BH8" s="1480">
        <f ca="1">IF($BD$1&lt;=7,[10]clt!Z8,[10]clt!BT8)</f>
        <v>4</v>
      </c>
      <c r="BI8" s="1479">
        <f ca="1">IF($BD$1&lt;=7,[10]clt!AA8,[10]clt!BU8)</f>
        <v>39</v>
      </c>
      <c r="BJ8" s="1479">
        <f ca="1">IF($BD$1&lt;=7,[10]clt!AB8,[10]clt!BV8)</f>
        <v>59</v>
      </c>
      <c r="BK8" s="1401"/>
      <c r="BL8" s="1482" t="str">
        <f ca="1">IF(ROUND(BN8,0)=ROUND(BN7,0),"-",6)</f>
        <v>-</v>
      </c>
      <c r="BM8" s="1478" t="str">
        <f ca="1">IF($BD$1&lt;=7,[10]clt!U17,[10]clt!BO17)</f>
        <v>CTT MENIMUR 2</v>
      </c>
      <c r="BN8" s="1481">
        <f ca="1">IF($BD$1&lt;=7,[10]clt!V17,[10]clt!BP17)</f>
        <v>13.000019036879552</v>
      </c>
      <c r="BO8" s="1479">
        <f ca="1">IF($BD$1&lt;=7,[10]clt!W17,[10]clt!BQ17)</f>
        <v>7</v>
      </c>
      <c r="BP8" s="1479">
        <f ca="1">IF($BD$1&lt;=7,[10]clt!X17,[10]clt!BR17)</f>
        <v>2</v>
      </c>
      <c r="BQ8" s="1480">
        <f ca="1">IF($BD$1&lt;=7,[10]clt!Y17,[10]clt!BS17)</f>
        <v>2</v>
      </c>
      <c r="BR8" s="1480">
        <f ca="1">IF($BD$1&lt;=7,[10]clt!Z17,[10]clt!BT17)</f>
        <v>3</v>
      </c>
      <c r="BS8" s="1479">
        <f ca="1">IF($BD$1&lt;=7,[10]clt!AA17,[10]clt!BU17)</f>
        <v>47</v>
      </c>
      <c r="BT8" s="1479">
        <f ca="1">IF($BD$1&lt;=7,[10]clt!AB17,[10]clt!BV17)</f>
        <v>51</v>
      </c>
      <c r="BU8" s="1444"/>
      <c r="BV8" s="1531" t="str">
        <f>BM24</f>
        <v>MTT 6:  D3    G</v>
      </c>
      <c r="BW8" s="1531" t="b">
        <f ca="1">[10]cal.Ph1!B84</f>
        <v>0</v>
      </c>
      <c r="BX8" s="1401"/>
      <c r="BY8" s="561">
        <f ca="1">IF($BD$1&lt;=7,COUNTIF($C8:$I8,"1")+RAND()*0.0001,COUNTIF($J8:$P8,"1")+RAND()*0.0001)</f>
        <v>5.0000060621155056</v>
      </c>
      <c r="BZ8" s="561" t="str">
        <f ca="1">IF(BY8&lt;1,"",AX8)</f>
        <v>Nicolas Jérémy</v>
      </c>
      <c r="CA8" s="561">
        <f ca="1">IF($BD$1&lt;=7,COUNTIF($C8:$I8,"2")+RAND()*0.0001,COUNTIF($J8:$P8,"2")+RAND()*0.0001)</f>
        <v>2.0000617153928624</v>
      </c>
      <c r="CB8" s="561" t="str">
        <f ca="1">IF(CA8&lt;1,"",AX8)</f>
        <v>Nicolas Jérémy</v>
      </c>
      <c r="CC8" s="561">
        <f ca="1">IF($BD$1&lt;=7,COUNTIF($C8:$I8,"3")+RAND()*0.0001,COUNTIF($J8:$P8,"3")+RAND()*0.0001)</f>
        <v>1.3424012437956168E-5</v>
      </c>
      <c r="CD8" s="561" t="str">
        <f ca="1">IF(CC8&lt;1,"",AX8)</f>
        <v/>
      </c>
      <c r="CE8" s="561">
        <f ca="1">IF($BD$1&lt;=7,COUNTIF($C8:$I8,"4")+RAND()*0.0001,COUNTIF($J8:$P8,"4")+RAND()*0.0001)</f>
        <v>5.2728112375395841E-5</v>
      </c>
      <c r="CF8" s="561" t="str">
        <f ca="1">IF(CE8&lt;1,"",AX8)</f>
        <v/>
      </c>
      <c r="CG8" s="561">
        <f ca="1">IF($BD$1&lt;=7,COUNTIF($C8:$I8,"5")+RAND()*0.0001,COUNTIF($J8:$P8,"5")+RAND()*0.0001)</f>
        <v>8.4985446761647876E-6</v>
      </c>
      <c r="CH8" s="561" t="str">
        <f ca="1">IF(CG8&lt;1,"",AX8)</f>
        <v/>
      </c>
      <c r="CI8" s="561">
        <f ca="1">IF($BD$1&lt;=7,COUNTIF($C8:$I8,"6")+RAND()*0.0001,COUNTIF($J8:$P8,"6")+RAND()*0.0001)</f>
        <v>2.200457217226276E-5</v>
      </c>
      <c r="CJ8" s="561" t="str">
        <f ca="1">IF(CI8&lt;1,"",AX8)</f>
        <v/>
      </c>
      <c r="CK8" s="561">
        <f ca="1">IF($BD$1&lt;=7,COUNTIF($C8:$I8,"7")+RAND()*0.0001,COUNTIF($J8:$P8,"7")+RAND()*0.0001)</f>
        <v>1.2967189248113731E-5</v>
      </c>
      <c r="CL8" s="561" t="str">
        <f ca="1">IF(CK8&lt;1,"",AX8)</f>
        <v/>
      </c>
      <c r="CM8" s="561">
        <f ca="1">IF($BD$1&lt;=7,COUNTIF($C8:$I8,"8")+RAND()*0.0001,COUNTIF($J8:$P8,"8")+RAND()*0.0001)</f>
        <v>3.7904519374145994E-5</v>
      </c>
      <c r="CN8" s="561" t="str">
        <f ca="1">IF(CM8&lt;1,"",AX8)</f>
        <v/>
      </c>
      <c r="CO8" s="1530">
        <v>7</v>
      </c>
      <c r="CP8" s="1401">
        <f ca="1">AE8+RAND()*0.01</f>
        <v>14.009728373198833</v>
      </c>
      <c r="CQ8" s="1433">
        <f>VLOOKUP(C8,$CO$2:$DF$11,18,FALSE)</f>
        <v>3</v>
      </c>
      <c r="CR8" s="1433">
        <f>VLOOKUP(D8,$CO$2:$DF$11,18,FALSE)</f>
        <v>3</v>
      </c>
      <c r="CS8" s="1433">
        <f>VLOOKUP(E8,$CO$2:$DF$11,18,FALSE)</f>
        <v>3</v>
      </c>
      <c r="CT8" s="1433">
        <f>VLOOKUP(F8,$CO$2:$DF$11,18,FALSE)</f>
        <v>3</v>
      </c>
      <c r="CU8" s="1433">
        <f>VLOOKUP(G8,$CO$2:$DF$11,18,FALSE)</f>
        <v>3</v>
      </c>
      <c r="CV8" s="1433">
        <f>VLOOKUP(H8,$CO$2:$DF$11,18,FALSE)</f>
        <v>3</v>
      </c>
      <c r="CW8" s="1433">
        <f>VLOOKUP(I8,$CO$2:$DF$11,18,FALSE)</f>
        <v>3</v>
      </c>
      <c r="CX8" s="1433">
        <f>VLOOKUP(J8,$CO$2:$DF$11,18,FALSE)</f>
        <v>3</v>
      </c>
      <c r="CY8" s="1433">
        <f>VLOOKUP(K8,$CO$2:$DF$11,18,FALSE)</f>
        <v>3</v>
      </c>
      <c r="CZ8" s="1433">
        <f>VLOOKUP(L8,$CO$2:$DF$11,18,FALSE)</f>
        <v>3</v>
      </c>
      <c r="DA8" s="1433">
        <f>VLOOKUP(M8,$CO$2:$DF$11,18,FALSE)</f>
        <v>3</v>
      </c>
      <c r="DB8" s="1433">
        <f>VLOOKUP(N8,$CO$2:$DF$11,18,FALSE)</f>
        <v>3</v>
      </c>
      <c r="DC8" s="1433">
        <f>VLOOKUP(O8,$CO$2:$DF$11,18,FALSE)</f>
        <v>3</v>
      </c>
      <c r="DD8" s="1433">
        <f>VLOOKUP(P8,$CO$2:$DF$11,18,FALSE)</f>
        <v>3</v>
      </c>
      <c r="DE8" s="1432">
        <f ca="1">IF(AND(DI8=0,A8=""),AL8,IF(DI8=0,AL8+VLOOKUP(AX8,[10]Critérium!$AC$49:$DE$100,81,FALSE),AL8+VLOOKUP(AX8,[10]Critérium!$B$6:$T$22,19,FALSE)+VLOOKUP(AX8,[10]Critérium!$AC$49:$DE$100,81,FALSE)))</f>
        <v>35</v>
      </c>
      <c r="DF8" s="1530">
        <f>[10]équipes!N20</f>
        <v>3</v>
      </c>
      <c r="DG8" s="1429">
        <f ca="1">IF(AND(DI8=0,A8=""),AM8,IF(DI8=0,AM8+VLOOKUP(AX8,[10]Critérium!$AC$49:$DH$100,84,FALSE),AM8+VLOOKUP(AX8,[10]Critérium!$B$6:$V$22,21,FALSE)+VLOOKUP(AX8,[10]Critérium!$AC$49:$DH$100,84,FALSE)))</f>
        <v>42</v>
      </c>
      <c r="DH8" s="1430">
        <f ca="1">IF(DG8=0,0,(DE8/DG8+RAND()*0.0001))</f>
        <v>0.83339143836119434</v>
      </c>
      <c r="DI8" s="1429">
        <f>VLOOKUP(AX8,[10]liste!AN:AR,5,FALSE)</f>
        <v>0</v>
      </c>
      <c r="DJ8" s="1427">
        <f ca="1">DG8+RAND()</f>
        <v>42.141509728657333</v>
      </c>
      <c r="DK8" s="1427" t="str">
        <f>A8</f>
        <v>Nicolas Jérémy</v>
      </c>
      <c r="DM8" s="1428">
        <f>HLOOKUP($DM$1,$C$1:$P$70,8,FALSE)</f>
        <v>1</v>
      </c>
      <c r="DN8" s="1428">
        <f>HLOOKUP($DN$1,$Q$1:$AD$70,8,FALSE)</f>
        <v>3</v>
      </c>
      <c r="DO8" s="1401"/>
      <c r="DP8" s="1401"/>
      <c r="DQ8" s="1401"/>
      <c r="DR8" s="1400">
        <f>IF(SUM(C8:P8)=0,0,(AE8*10/SUM(C8:P8)/2)*AE8/21)</f>
        <v>1.5555555555555558</v>
      </c>
      <c r="DT8" s="1444"/>
      <c r="DU8" s="1444"/>
      <c r="DV8" s="1444"/>
      <c r="DW8" s="1444"/>
      <c r="DX8" s="1444"/>
      <c r="DY8" s="1444"/>
      <c r="DZ8" s="1444"/>
      <c r="EA8" s="1444"/>
    </row>
    <row r="9" spans="1:131" ht="21.95" customHeight="1">
      <c r="A9" s="1500" t="str">
        <f>[10]points!B21</f>
        <v>Roszak Clément</v>
      </c>
      <c r="B9" s="1499">
        <v>2</v>
      </c>
      <c r="C9" s="1497">
        <v>1</v>
      </c>
      <c r="D9" s="1497">
        <v>3</v>
      </c>
      <c r="E9" s="1497">
        <v>3</v>
      </c>
      <c r="F9" s="1497"/>
      <c r="G9" s="1497">
        <v>3</v>
      </c>
      <c r="H9" s="1497"/>
      <c r="I9" s="1498">
        <v>1</v>
      </c>
      <c r="J9" s="1497">
        <v>2</v>
      </c>
      <c r="K9" s="1497">
        <v>2</v>
      </c>
      <c r="L9" s="1497"/>
      <c r="M9" s="1497">
        <v>2</v>
      </c>
      <c r="N9" s="1497">
        <v>2</v>
      </c>
      <c r="O9" s="1497">
        <v>1</v>
      </c>
      <c r="P9" s="1496">
        <v>2</v>
      </c>
      <c r="Q9" s="1494">
        <v>3</v>
      </c>
      <c r="R9" s="1493">
        <v>3</v>
      </c>
      <c r="S9" s="1493">
        <v>2</v>
      </c>
      <c r="T9" s="1493"/>
      <c r="U9" s="1493">
        <v>2</v>
      </c>
      <c r="V9" s="1493"/>
      <c r="W9" s="1495">
        <v>1</v>
      </c>
      <c r="X9" s="1494">
        <v>3</v>
      </c>
      <c r="Y9" s="1493">
        <v>3</v>
      </c>
      <c r="Z9" s="1493"/>
      <c r="AA9" s="1493">
        <v>3</v>
      </c>
      <c r="AB9" s="1493">
        <v>3</v>
      </c>
      <c r="AC9" s="1493">
        <v>2</v>
      </c>
      <c r="AD9" s="1493">
        <v>3</v>
      </c>
      <c r="AE9" s="1492">
        <f>IF(B9="","",COUNTIF(C9:P9,"&gt;0"))</f>
        <v>11</v>
      </c>
      <c r="AF9" s="1490">
        <f>SUM(Q9:W9)</f>
        <v>11</v>
      </c>
      <c r="AG9" s="1470">
        <f>SUM(CQ9:CW9)</f>
        <v>15</v>
      </c>
      <c r="AH9" s="1469">
        <f ca="1">IF(AG9=0,"X",IF(AG9&lt;LARGE(AG$2:AG$70,1)/3,"NS",RAND()*0.00001+AF9/AG9))</f>
        <v>0.73333541303085226</v>
      </c>
      <c r="AI9" s="1490">
        <f>SUM(X9:AD9)</f>
        <v>17</v>
      </c>
      <c r="AJ9" s="1490">
        <f>SUM(CX9:DD9)</f>
        <v>18</v>
      </c>
      <c r="AK9" s="1491">
        <f ca="1">IF(AJ9=0,"X",IF(AJ9&lt;LARGE(AJ$2:AJ$70,1)/4,"NS",RAND()*0.00001+AI9/AJ9))</f>
        <v>0.94444744436364225</v>
      </c>
      <c r="AL9" s="1490">
        <f>SUM(Q9:AD9)</f>
        <v>28</v>
      </c>
      <c r="AM9" s="1490">
        <f>SUM(CQ9:DD9)</f>
        <v>33</v>
      </c>
      <c r="AN9" s="1469">
        <f ca="1">IF(AM9=0,"X",IF(AM9&lt;LARGE(AM$2:AM$70,1)/3,"NS",RAND()*0.00001+AL9/AM9))</f>
        <v>0.84849096812378677</v>
      </c>
      <c r="AO9" s="1437">
        <f ca="1">IF(B9="",10,B9+RAND()*0.01)</f>
        <v>2.0042054029598995</v>
      </c>
      <c r="AP9" s="1437">
        <f ca="1">IF(AND(C9="",J9=""),"e",IF(J9="",IF($BD$1&lt;=7,C9+RAND()*0.01,"e"),J9+RAND()*0.01))</f>
        <v>2.0070780921383835</v>
      </c>
      <c r="AQ9" s="1437">
        <f ca="1">IF(AND(D9="",K9=""),"e",IF(K9="",IF($BD$1&lt;=7,D9+RAND()*0.01,"e"),K9+RAND()*0.01))</f>
        <v>2.0098679189160453</v>
      </c>
      <c r="AR9" s="1437" t="str">
        <f ca="1">IF(AND(E9="",L9=""),"e",IF(L9="",IF($BD$1&lt;=7,E9+RAND()*0.01,"e"),L9+RAND()*0.01))</f>
        <v>e</v>
      </c>
      <c r="AS9" s="1437">
        <f ca="1">IF(AND(F9="",M9=""),"e",IF(M9="",IF($BD$1&lt;=7,F9+RAND()*0.01,"e"),M9+RAND()*0.01))</f>
        <v>2.0012209044782865</v>
      </c>
      <c r="AT9" s="1437">
        <f ca="1">IF(AND(G9="",N9=""),"e",IF(N9="",IF($BD$1&lt;=7,G9+RAND()*0.01,"e"),N9+RAND()*0.01))</f>
        <v>2.0045657850069518</v>
      </c>
      <c r="AU9" s="1437">
        <f ca="1">IF(AND(H9="",O9=""),"e",IF(O9="",IF($BD$1&lt;=7,H9+RAND()*0.01,"e"),O9+RAND()*0.01))</f>
        <v>1.0081350944297218</v>
      </c>
      <c r="AV9" s="1437">
        <f ca="1">IF(AND(I9="",P9=""),"e",IF(P9="",IF($BD$1&lt;=7,I9+RAND()*0.01,"e"),P9+RAND()*0.01))</f>
        <v>2.003224522023654</v>
      </c>
      <c r="AW9" s="1437"/>
      <c r="AX9" s="1436" t="str">
        <f>A9</f>
        <v>Roszak Clément</v>
      </c>
      <c r="AY9" s="1580" t="str">
        <f>IF(OR($H$2&gt;0,$H$3&gt;0,$H$4&gt;0,$H$5&gt;0,$H$6&gt;0,$H$7&gt;0,$H$8&gt;0,$H$2&gt;0),"",IF(COUNTIF(C9:H9,"")&gt;=5,"",IF(COUNTIF(C9:H9,SMALL(C9:H9,1))&gt;=2,SMALL(C9:H9,1),SMALL(C9:H9,2))))</f>
        <v/>
      </c>
      <c r="AZ9" s="1581">
        <f>IF(COUNTIF(J9:O9,"")&gt;=5,"",IF(COUNTIF(J9:O9,SMALL(J9:O9,1))&gt;=2,SMALL(J9:O9,1),SMALL(J9:O9,2)))</f>
        <v>2</v>
      </c>
      <c r="BA9" s="1401"/>
      <c r="BB9" s="1512" t="str">
        <f ca="1">IF(ROUND(BD9,0)=ROUND(BD8,0),"-",7)</f>
        <v>-</v>
      </c>
      <c r="BC9" s="1478" t="str">
        <f ca="1">IF($BD$1&lt;=7,[10]clt!U9,[10]clt!BO9)</f>
        <v>TT LA BAIE YFFINIAC 1</v>
      </c>
      <c r="BD9" s="1481">
        <f ca="1">IF($BD$1&lt;=7,[10]clt!V9,[10]clt!BP9)</f>
        <v>11.000003530640576</v>
      </c>
      <c r="BE9" s="1508">
        <f ca="1">IF($BD$1&lt;=7,[10]clt!W9,[10]clt!BQ9)</f>
        <v>7</v>
      </c>
      <c r="BF9" s="1508">
        <f ca="1">IF($BD$1&lt;=7,[10]clt!X9,[10]clt!BR9)</f>
        <v>1</v>
      </c>
      <c r="BG9" s="1480">
        <f ca="1">IF($BD$1&lt;=7,[10]clt!Y9,[10]clt!BS9)</f>
        <v>2</v>
      </c>
      <c r="BH9" s="1480">
        <f ca="1">IF($BD$1&lt;=7,[10]clt!Z9,[10]clt!BT9)</f>
        <v>4</v>
      </c>
      <c r="BI9" s="1508">
        <f ca="1">IF($BD$1&lt;=7,[10]clt!AA9,[10]clt!BU9)</f>
        <v>37</v>
      </c>
      <c r="BJ9" s="1508">
        <f ca="1">IF($BD$1&lt;=7,[10]clt!AB9,[10]clt!BV9)</f>
        <v>61</v>
      </c>
      <c r="BK9" s="156"/>
      <c r="BL9" s="1512">
        <f ca="1">IF(ROUND(BN9,0)=ROUND(BN8,0),"-",7)</f>
        <v>7</v>
      </c>
      <c r="BM9" s="1478" t="str">
        <f ca="1">IF($BD$1&lt;=7,[10]clt!U18,[10]clt!BO18)</f>
        <v>PLUNERET/MERIAD 1</v>
      </c>
      <c r="BN9" s="1481">
        <f ca="1">IF($BD$1&lt;=7,[10]clt!V18,[10]clt!BP18)</f>
        <v>12.000071703128762</v>
      </c>
      <c r="BO9" s="1508">
        <f ca="1">IF($BD$1&lt;=7,[10]clt!W18,[10]clt!BQ18)</f>
        <v>7</v>
      </c>
      <c r="BP9" s="1508">
        <f ca="1">IF($BD$1&lt;=7,[10]clt!X18,[10]clt!BR18)</f>
        <v>2</v>
      </c>
      <c r="BQ9" s="1480">
        <f ca="1">IF($BD$1&lt;=7,[10]clt!Y18,[10]clt!BS18)</f>
        <v>1</v>
      </c>
      <c r="BR9" s="1480">
        <f ca="1">IF($BD$1&lt;=7,[10]clt!Z18,[10]clt!BT18)</f>
        <v>4</v>
      </c>
      <c r="BS9" s="1508">
        <f ca="1">IF($BD$1&lt;=7,[10]clt!AA18,[10]clt!BU18)</f>
        <v>40</v>
      </c>
      <c r="BT9" s="1508">
        <f ca="1">IF($BD$1&lt;=7,[10]clt!AB18,[10]clt!BV18)</f>
        <v>58</v>
      </c>
      <c r="BU9" s="299"/>
      <c r="BV9" s="1531" t="str">
        <f>BC35</f>
        <v>MTT 7:  D3    F</v>
      </c>
      <c r="BW9" s="1531" t="b">
        <f ca="1">[10]cal.Ph1!B85</f>
        <v>0</v>
      </c>
      <c r="BX9" s="1512"/>
      <c r="BY9" s="561">
        <f ca="1">IF($BD$1&lt;=7,COUNTIF($C9:$I9,"1")+RAND()*0.0001,COUNTIF($J9:$P9,"1")+RAND()*0.0001)</f>
        <v>1.0000319850462629</v>
      </c>
      <c r="BZ9" s="561" t="str">
        <f ca="1">IF(BY9&lt;1,"",AX9)</f>
        <v>Roszak Clément</v>
      </c>
      <c r="CA9" s="561">
        <f ca="1">IF($BD$1&lt;=7,COUNTIF($C9:$I9,"2")+RAND()*0.0001,COUNTIF($J9:$P9,"2")+RAND()*0.0001)</f>
        <v>5.0000149930582181</v>
      </c>
      <c r="CB9" s="561" t="str">
        <f ca="1">IF(CA9&lt;1,"",AX9)</f>
        <v>Roszak Clément</v>
      </c>
      <c r="CC9" s="561">
        <f ca="1">IF($BD$1&lt;=7,COUNTIF($C9:$I9,"3")+RAND()*0.0001,COUNTIF($J9:$P9,"3")+RAND()*0.0001)</f>
        <v>7.913347314359798E-5</v>
      </c>
      <c r="CD9" s="561" t="str">
        <f ca="1">IF(CC9&lt;1,"",AX9)</f>
        <v/>
      </c>
      <c r="CE9" s="561">
        <f ca="1">IF($BD$1&lt;=7,COUNTIF($C9:$I9,"4")+RAND()*0.0001,COUNTIF($J9:$P9,"4")+RAND()*0.0001)</f>
        <v>9.2232229292061446E-5</v>
      </c>
      <c r="CF9" s="561" t="str">
        <f ca="1">IF(CE9&lt;1,"",AX9)</f>
        <v/>
      </c>
      <c r="CG9" s="561">
        <f ca="1">IF($BD$1&lt;=7,COUNTIF($C9:$I9,"5")+RAND()*0.0001,COUNTIF($J9:$P9,"5")+RAND()*0.0001)</f>
        <v>7.5571264944649402E-5</v>
      </c>
      <c r="CH9" s="561" t="str">
        <f ca="1">IF(CG9&lt;1,"",AX9)</f>
        <v/>
      </c>
      <c r="CI9" s="561">
        <f ca="1">IF($BD$1&lt;=7,COUNTIF($C9:$I9,"6")+RAND()*0.0001,COUNTIF($J9:$P9,"6")+RAND()*0.0001)</f>
        <v>3.0203732600531765E-5</v>
      </c>
      <c r="CJ9" s="561" t="str">
        <f ca="1">IF(CI9&lt;1,"",AX9)</f>
        <v/>
      </c>
      <c r="CK9" s="561">
        <f ca="1">IF($BD$1&lt;=7,COUNTIF($C9:$I9,"7")+RAND()*0.0001,COUNTIF($J9:$P9,"7")+RAND()*0.0001)</f>
        <v>7.4074069467201993E-5</v>
      </c>
      <c r="CL9" s="561" t="str">
        <f ca="1">IF(CK9&lt;1,"",AX9)</f>
        <v/>
      </c>
      <c r="CM9" s="561">
        <f ca="1">IF($BD$1&lt;=7,COUNTIF($C9:$I9,"8")+RAND()*0.0001,COUNTIF($J9:$P9,"8")+RAND()*0.0001)</f>
        <v>8.2539897282193957E-5</v>
      </c>
      <c r="CN9" s="561" t="str">
        <f ca="1">IF(CM9&lt;1,"",AX9)</f>
        <v/>
      </c>
      <c r="CO9" s="1530">
        <v>8</v>
      </c>
      <c r="CP9" s="1401">
        <f ca="1">AE9+RAND()*0.01</f>
        <v>11.009042557709403</v>
      </c>
      <c r="CQ9" s="1433">
        <f>VLOOKUP(C9,$CO$2:$DF$11,18,FALSE)</f>
        <v>3</v>
      </c>
      <c r="CR9" s="1433">
        <f>VLOOKUP(D9,$CO$2:$DF$11,18,FALSE)</f>
        <v>3</v>
      </c>
      <c r="CS9" s="1433">
        <f>VLOOKUP(E9,$CO$2:$DF$11,18,FALSE)</f>
        <v>3</v>
      </c>
      <c r="CT9" s="1433">
        <f>VLOOKUP(F9,$CO$2:$DF$11,18,FALSE)</f>
        <v>0</v>
      </c>
      <c r="CU9" s="1433">
        <f>VLOOKUP(G9,$CO$2:$DF$11,18,FALSE)</f>
        <v>3</v>
      </c>
      <c r="CV9" s="1433">
        <f>VLOOKUP(H9,$CO$2:$DF$11,18,FALSE)</f>
        <v>0</v>
      </c>
      <c r="CW9" s="1433">
        <f>VLOOKUP(I9,$CO$2:$DF$11,18,FALSE)</f>
        <v>3</v>
      </c>
      <c r="CX9" s="1433">
        <f>VLOOKUP(J9,$CO$2:$DF$11,18,FALSE)</f>
        <v>3</v>
      </c>
      <c r="CY9" s="1433">
        <f>VLOOKUP(K9,$CO$2:$DF$11,18,FALSE)</f>
        <v>3</v>
      </c>
      <c r="CZ9" s="1433">
        <f>VLOOKUP(L9,$CO$2:$DF$11,18,FALSE)</f>
        <v>0</v>
      </c>
      <c r="DA9" s="1433">
        <f>VLOOKUP(M9,$CO$2:$DF$11,18,FALSE)</f>
        <v>3</v>
      </c>
      <c r="DB9" s="1433">
        <f>VLOOKUP(N9,$CO$2:$DF$11,18,FALSE)</f>
        <v>3</v>
      </c>
      <c r="DC9" s="1433">
        <f>VLOOKUP(O9,$CO$2:$DF$11,18,FALSE)</f>
        <v>3</v>
      </c>
      <c r="DD9" s="1433">
        <f>VLOOKUP(P9,$CO$2:$DF$11,18,FALSE)</f>
        <v>3</v>
      </c>
      <c r="DE9" s="1432">
        <f ca="1">IF(AND(DI9=0,A9=""),AL9,IF(DI9=0,AL9+VLOOKUP(AX9,[10]Critérium!$AC$49:$DE$100,81,FALSE),AL9+VLOOKUP(AX9,[10]Critérium!$B$6:$T$22,19,FALSE)+VLOOKUP(AX9,[10]Critérium!$AC$49:$DE$100,81,FALSE)))</f>
        <v>28</v>
      </c>
      <c r="DF9" s="1530">
        <f>[10]équipes!N25</f>
        <v>3</v>
      </c>
      <c r="DG9" s="1429">
        <f ca="1">IF(AND(DI9=0,A9=""),AM9,IF(DI9=0,AM9+VLOOKUP(AX9,[10]Critérium!$AC$49:$DH$100,84,FALSE),AM9+VLOOKUP(AX9,[10]Critérium!$B$6:$V$22,21,FALSE)+VLOOKUP(AX9,[10]Critérium!$AC$49:$DH$100,84,FALSE)))</f>
        <v>35</v>
      </c>
      <c r="DH9" s="1430">
        <f ca="1">IF(DG9=0,0,(DE9/DG9+RAND()*0.0001))</f>
        <v>0.80002879355157352</v>
      </c>
      <c r="DI9" s="1429">
        <f>VLOOKUP(AX9,[10]liste!AN:AR,5,FALSE)</f>
        <v>0</v>
      </c>
      <c r="DJ9" s="1427">
        <f ca="1">DG9+RAND()</f>
        <v>35.75289223338067</v>
      </c>
      <c r="DK9" s="1427" t="str">
        <f>A9</f>
        <v>Roszak Clément</v>
      </c>
      <c r="DL9" s="1427"/>
      <c r="DM9" s="1428">
        <f>HLOOKUP($DM$1,$C$1:$P$70,9,FALSE)</f>
        <v>2</v>
      </c>
      <c r="DN9" s="1428">
        <f>HLOOKUP($DN$1,$Q$1:$AD$70,9,FALSE)</f>
        <v>3</v>
      </c>
      <c r="DO9" s="1401"/>
      <c r="DP9" s="1401"/>
      <c r="DR9" s="1400">
        <f>IF(SUM(C9:P9)=0,0,(AE9*10/SUM(C9:P9)/2)*AE9/21)</f>
        <v>1.3095238095238095</v>
      </c>
      <c r="DT9" s="299"/>
      <c r="DU9" s="299"/>
      <c r="DV9" s="299"/>
      <c r="DW9" s="299"/>
      <c r="DX9" s="299"/>
      <c r="DY9" s="299"/>
      <c r="DZ9" s="299"/>
      <c r="EA9" s="299"/>
    </row>
    <row r="10" spans="1:131" ht="21.95" customHeight="1">
      <c r="A10" s="1477" t="str">
        <f>[10]points!B30</f>
        <v>Morin Emmanuel</v>
      </c>
      <c r="B10" s="1476">
        <v>3</v>
      </c>
      <c r="C10" s="1428">
        <v>2</v>
      </c>
      <c r="D10" s="1428"/>
      <c r="E10" s="1428">
        <v>2</v>
      </c>
      <c r="F10" s="1428">
        <v>2</v>
      </c>
      <c r="G10" s="1428">
        <v>2</v>
      </c>
      <c r="H10" s="1428">
        <v>2</v>
      </c>
      <c r="I10" s="1475">
        <v>2</v>
      </c>
      <c r="J10" s="1428">
        <v>3</v>
      </c>
      <c r="K10" s="1428">
        <v>3</v>
      </c>
      <c r="L10" s="1428">
        <v>3</v>
      </c>
      <c r="M10" s="1428">
        <v>3</v>
      </c>
      <c r="N10" s="1428"/>
      <c r="O10" s="1428">
        <v>3</v>
      </c>
      <c r="P10" s="1474">
        <v>3</v>
      </c>
      <c r="Q10" s="1472">
        <v>2</v>
      </c>
      <c r="R10" s="1471"/>
      <c r="S10" s="1471">
        <v>1</v>
      </c>
      <c r="T10" s="1471">
        <v>2</v>
      </c>
      <c r="U10" s="1471">
        <v>2</v>
      </c>
      <c r="V10" s="1471">
        <v>2</v>
      </c>
      <c r="W10" s="1473">
        <v>1</v>
      </c>
      <c r="X10" s="1472">
        <v>1</v>
      </c>
      <c r="Y10" s="1471">
        <v>0</v>
      </c>
      <c r="Z10" s="1471">
        <v>2</v>
      </c>
      <c r="AA10" s="1471">
        <v>1</v>
      </c>
      <c r="AB10" s="1471"/>
      <c r="AC10" s="1471">
        <v>3</v>
      </c>
      <c r="AD10" s="1471">
        <v>1</v>
      </c>
      <c r="AE10" s="1458">
        <f>IF(B10="","",COUNTIF(C10:P10,"&gt;0"))</f>
        <v>12</v>
      </c>
      <c r="AF10" s="1470">
        <f>SUM(Q10:W10)</f>
        <v>10</v>
      </c>
      <c r="AG10" s="1470">
        <f>SUM(CQ10:CW10)</f>
        <v>18</v>
      </c>
      <c r="AH10" s="1469">
        <f ca="1">IF(AG10=0,"X",IF(AG10&lt;LARGE(AG$2:AG$70,1)/3,"NS",RAND()*0.00001+AF10/AG10))</f>
        <v>0.55556121897403588</v>
      </c>
      <c r="AI10" s="1470">
        <f>SUM(X10:AD10)</f>
        <v>8</v>
      </c>
      <c r="AJ10" s="1470">
        <f>SUM(CX10:DD10)</f>
        <v>18</v>
      </c>
      <c r="AK10" s="1469">
        <f ca="1">IF(AJ10=0,"X",IF(AJ10&lt;LARGE(AJ$2:AJ$70,1)/4,"NS",RAND()*0.00001+AI10/AJ10))</f>
        <v>0.4444456179052344</v>
      </c>
      <c r="AL10" s="1470">
        <f>SUM(Q10:AD10)</f>
        <v>18</v>
      </c>
      <c r="AM10" s="1470">
        <f>SUM(CQ10:DD10)</f>
        <v>36</v>
      </c>
      <c r="AN10" s="1469">
        <f ca="1">IF(AM10=0,"X",IF(AM10&lt;LARGE(AM$2:AM$70,1)/3,"NS",RAND()*0.00001+AL10/AM10))</f>
        <v>0.50000797740587688</v>
      </c>
      <c r="AO10" s="1437">
        <f ca="1">IF(B10="",10,B10+RAND()*0.01)</f>
        <v>3.007043963623997</v>
      </c>
      <c r="AP10" s="1437">
        <f ca="1">IF(AND(C10="",J10=""),"e",IF(J10="",IF($BD$1&lt;=7,C10+RAND()*0.01,"e"),J10+RAND()*0.01))</f>
        <v>3.0061423001587029</v>
      </c>
      <c r="AQ10" s="1437">
        <f ca="1">IF(AND(D10="",K10=""),"e",IF(K10="",IF($BD$1&lt;=7,D10+RAND()*0.01,"e"),K10+RAND()*0.01))</f>
        <v>3.0071834996397038</v>
      </c>
      <c r="AR10" s="1437">
        <f ca="1">IF(AND(E10="",L10=""),"e",IF(L10="",IF($BD$1&lt;=7,E10+RAND()*0.01,"e"),L10+RAND()*0.01))</f>
        <v>3.0069103056381561</v>
      </c>
      <c r="AS10" s="1437">
        <f ca="1">IF(AND(F10="",M10=""),"e",IF(M10="",IF($BD$1&lt;=7,F10+RAND()*0.01,"e"),M10+RAND()*0.01))</f>
        <v>3.0089367715896818</v>
      </c>
      <c r="AT10" s="1437" t="str">
        <f ca="1">IF(AND(G10="",N10=""),"e",IF(N10="",IF($BD$1&lt;=7,G10+RAND()*0.01,"e"),N10+RAND()*0.01))</f>
        <v>e</v>
      </c>
      <c r="AU10" s="1437">
        <f ca="1">IF(AND(H10="",O10=""),"e",IF(O10="",IF($BD$1&lt;=7,H10+RAND()*0.01,"e"),O10+RAND()*0.01))</f>
        <v>3.0058099984055695</v>
      </c>
      <c r="AV10" s="1437">
        <f ca="1">IF(AND(I10="",P10=""),"e",IF(P10="",IF($BD$1&lt;=7,I10+RAND()*0.01,"e"),P10+RAND()*0.01))</f>
        <v>3.0098185352954294</v>
      </c>
      <c r="AW10" s="1437"/>
      <c r="AX10" s="1436" t="str">
        <f>A10</f>
        <v>Morin Emmanuel</v>
      </c>
      <c r="AY10" s="1580" t="str">
        <f>IF(OR($H$2&gt;0,$H$3&gt;0,$H$4&gt;0,$H$5&gt;0,$H$6&gt;0,$H$7&gt;0,$H$8&gt;0,$H$2&gt;0),"",IF(COUNTIF(C10:H10,"")&gt;=5,"",IF(COUNTIF(C10:H10,SMALL(C10:H10,1))&gt;=2,SMALL(C10:H10,1),SMALL(C10:H10,2))))</f>
        <v/>
      </c>
      <c r="AZ10" s="1581">
        <f>IF(COUNTIF(J10:O10,"")&gt;=5,"",IF(COUNTIF(J10:O10,SMALL(J10:O10,1))&gt;=2,SMALL(J10:O10,1),SMALL(J10:O10,2)))</f>
        <v>3</v>
      </c>
      <c r="BA10" s="1401"/>
      <c r="BB10" s="1512">
        <f ca="1">IF(ROUND(BD10,0)=ROUND(BD9,0),"-",7)</f>
        <v>7</v>
      </c>
      <c r="BC10" s="1478" t="str">
        <f ca="1">IF($BD$1&lt;=7,[10]clt!U10,[10]clt!BO10)</f>
        <v>CPB RENNES RAPATEL 2</v>
      </c>
      <c r="BD10" s="1481">
        <f ca="1">IF($BD$1&lt;=7,[10]clt!V10,[10]clt!BP10)</f>
        <v>9.0000330260242425</v>
      </c>
      <c r="BE10" s="1508">
        <f ca="1">IF($BD$1&lt;=7,[10]clt!W10,[10]clt!BQ10)</f>
        <v>7</v>
      </c>
      <c r="BF10" s="1508">
        <f ca="1">IF($BD$1&lt;=7,[10]clt!X10,[10]clt!BR10)</f>
        <v>0</v>
      </c>
      <c r="BG10" s="1480">
        <f ca="1">IF($BD$1&lt;=7,[10]clt!Y10,[10]clt!BS10)</f>
        <v>2</v>
      </c>
      <c r="BH10" s="1480">
        <f ca="1">IF($BD$1&lt;=7,[10]clt!Z10,[10]clt!BT10)</f>
        <v>5</v>
      </c>
      <c r="BI10" s="1508">
        <f ca="1">IF($BD$1&lt;=7,[10]clt!AA10,[10]clt!BU10)</f>
        <v>34</v>
      </c>
      <c r="BJ10" s="1508">
        <f ca="1">IF($BD$1&lt;=7,[10]clt!AB10,[10]clt!BV10)</f>
        <v>64</v>
      </c>
      <c r="BK10" s="156"/>
      <c r="BL10" s="1512" t="str">
        <f ca="1">IF(BM10="exempt","",IF(ROUND(BN10,0)=ROUND(BN9,0),"-",8))</f>
        <v>-</v>
      </c>
      <c r="BM10" s="1478" t="str">
        <f ca="1">IF($BD$1&lt;=7,[10]clt!U19,[10]clt!BO19)</f>
        <v>ASPTT VANNES 3</v>
      </c>
      <c r="BN10" s="1481">
        <f ca="1">IF($BD$1&lt;=7,[10]clt!V19,[10]clt!BP19)</f>
        <v>12.000060421006379</v>
      </c>
      <c r="BO10" s="1508">
        <f ca="1">IF($BD$1&lt;=7,[10]clt!W19,[10]clt!BQ19)</f>
        <v>7</v>
      </c>
      <c r="BP10" s="1508">
        <f ca="1">IF($BD$1&lt;=7,[10]clt!X19,[10]clt!BR19)</f>
        <v>2</v>
      </c>
      <c r="BQ10" s="1480">
        <f ca="1">IF($BD$1&lt;=7,[10]clt!Y19,[10]clt!BS19)</f>
        <v>1</v>
      </c>
      <c r="BR10" s="1480">
        <f ca="1">IF($BD$1&lt;=7,[10]clt!Z19,[10]clt!BT19)</f>
        <v>4</v>
      </c>
      <c r="BS10" s="1508">
        <f ca="1">IF($BD$1&lt;=7,[10]clt!AA19,[10]clt!BU19)</f>
        <v>44</v>
      </c>
      <c r="BT10" s="1508">
        <f ca="1">IF($BD$1&lt;=7,[10]clt!AB19,[10]clt!BV19)</f>
        <v>54</v>
      </c>
      <c r="BU10" s="299"/>
      <c r="BV10" s="1531" t="str">
        <f>BM35</f>
        <v>MTT 8:  D4     G</v>
      </c>
      <c r="BW10" s="1531" t="b">
        <f ca="1">[10]cal.Ph1!B86</f>
        <v>0</v>
      </c>
      <c r="BX10" s="1512"/>
      <c r="BY10" s="561">
        <f ca="1">IF($BD$1&lt;=7,COUNTIF($C10:$I10,"1")+RAND()*0.0001,COUNTIF($J10:$P10,"1")+RAND()*0.0001)</f>
        <v>8.0917902799378927E-5</v>
      </c>
      <c r="BZ10" s="561" t="str">
        <f ca="1">IF(BY10&lt;1,"",AX10)</f>
        <v/>
      </c>
      <c r="CA10" s="561">
        <f ca="1">IF($BD$1&lt;=7,COUNTIF($C10:$I10,"2")+RAND()*0.0001,COUNTIF($J10:$P10,"2")+RAND()*0.0001)</f>
        <v>4.4629807906371281E-5</v>
      </c>
      <c r="CB10" s="561" t="str">
        <f ca="1">IF(CA10&lt;1,"",AX10)</f>
        <v/>
      </c>
      <c r="CC10" s="561">
        <f ca="1">IF($BD$1&lt;=7,COUNTIF($C10:$I10,"3")+RAND()*0.0001,COUNTIF($J10:$P10,"3")+RAND()*0.0001)</f>
        <v>6.0000500960863601</v>
      </c>
      <c r="CD10" s="561" t="str">
        <f ca="1">IF(CC10&lt;1,"",AX10)</f>
        <v>Morin Emmanuel</v>
      </c>
      <c r="CE10" s="561">
        <f ca="1">IF($BD$1&lt;=7,COUNTIF($C10:$I10,"4")+RAND()*0.0001,COUNTIF($J10:$P10,"4")+RAND()*0.0001)</f>
        <v>1.7671544774037141E-5</v>
      </c>
      <c r="CF10" s="561" t="str">
        <f ca="1">IF(CE10&lt;1,"",AX10)</f>
        <v/>
      </c>
      <c r="CG10" s="561">
        <f ca="1">IF($BD$1&lt;=7,COUNTIF($C10:$I10,"5")+RAND()*0.0001,COUNTIF($J10:$P10,"5")+RAND()*0.0001)</f>
        <v>6.9306078327483053E-5</v>
      </c>
      <c r="CH10" s="561" t="str">
        <f ca="1">IF(CG10&lt;1,"",AX10)</f>
        <v/>
      </c>
      <c r="CI10" s="561">
        <f ca="1">IF($BD$1&lt;=7,COUNTIF($C10:$I10,"6")+RAND()*0.0001,COUNTIF($J10:$P10,"6")+RAND()*0.0001)</f>
        <v>3.7794780227745629E-5</v>
      </c>
      <c r="CJ10" s="561" t="str">
        <f ca="1">IF(CI10&lt;1,"",AX10)</f>
        <v/>
      </c>
      <c r="CK10" s="561">
        <f ca="1">IF($BD$1&lt;=7,COUNTIF($C10:$I10,"7")+RAND()*0.0001,COUNTIF($J10:$P10,"7")+RAND()*0.0001)</f>
        <v>3.2181129133008136E-5</v>
      </c>
      <c r="CL10" s="561" t="str">
        <f ca="1">IF(CK10&lt;1,"",AX10)</f>
        <v/>
      </c>
      <c r="CM10" s="561">
        <f ca="1">IF($BD$1&lt;=7,COUNTIF($C10:$I10,"8")+RAND()*0.0001,COUNTIF($J10:$P10,"8")+RAND()*0.0001)</f>
        <v>7.3662402724445454E-5</v>
      </c>
      <c r="CN10" s="561" t="str">
        <f ca="1">IF(CM10&lt;1,"",AX10)</f>
        <v/>
      </c>
      <c r="CO10" s="1530">
        <v>9</v>
      </c>
      <c r="CP10" s="1401">
        <f ca="1">AE10+RAND()*0.01</f>
        <v>12.007297770894597</v>
      </c>
      <c r="CQ10" s="1433">
        <f>VLOOKUP(C10,$CO$2:$DF$11,18,FALSE)</f>
        <v>3</v>
      </c>
      <c r="CR10" s="1433">
        <f>VLOOKUP(D10,$CO$2:$DF$11,18,FALSE)</f>
        <v>0</v>
      </c>
      <c r="CS10" s="1433">
        <f>VLOOKUP(E10,$CO$2:$DF$11,18,FALSE)</f>
        <v>3</v>
      </c>
      <c r="CT10" s="1433">
        <f>VLOOKUP(F10,$CO$2:$DF$11,18,FALSE)</f>
        <v>3</v>
      </c>
      <c r="CU10" s="1433">
        <f>VLOOKUP(G10,$CO$2:$DF$11,18,FALSE)</f>
        <v>3</v>
      </c>
      <c r="CV10" s="1433">
        <f>VLOOKUP(H10,$CO$2:$DF$11,18,FALSE)</f>
        <v>3</v>
      </c>
      <c r="CW10" s="1433">
        <f>VLOOKUP(I10,$CO$2:$DF$11,18,FALSE)</f>
        <v>3</v>
      </c>
      <c r="CX10" s="1433">
        <f>VLOOKUP(J10,$CO$2:$DF$11,18,FALSE)</f>
        <v>3</v>
      </c>
      <c r="CY10" s="1433">
        <f>VLOOKUP(K10,$CO$2:$DF$11,18,FALSE)</f>
        <v>3</v>
      </c>
      <c r="CZ10" s="1433">
        <f>VLOOKUP(L10,$CO$2:$DF$11,18,FALSE)</f>
        <v>3</v>
      </c>
      <c r="DA10" s="1433">
        <f>VLOOKUP(M10,$CO$2:$DF$11,18,FALSE)</f>
        <v>3</v>
      </c>
      <c r="DB10" s="1433">
        <f>VLOOKUP(N10,$CO$2:$DF$11,18,FALSE)</f>
        <v>0</v>
      </c>
      <c r="DC10" s="1433">
        <f>VLOOKUP(O10,$CO$2:$DF$11,18,FALSE)</f>
        <v>3</v>
      </c>
      <c r="DD10" s="1433">
        <f>VLOOKUP(P10,$CO$2:$DF$11,18,FALSE)</f>
        <v>3</v>
      </c>
      <c r="DE10" s="1432">
        <f ca="1">IF(AND(DI10=0,A10=""),AL10,IF(DI10=0,AL10+VLOOKUP(AX10,[10]Critérium!$AC$49:$DE$100,81,FALSE),AL10+VLOOKUP(AX10,[10]Critérium!$B$6:$T$22,19,FALSE)+VLOOKUP(AX10,[10]Critérium!$AC$49:$DE$100,81,FALSE)))</f>
        <v>29</v>
      </c>
      <c r="DF10" s="1530">
        <v>0</v>
      </c>
      <c r="DG10" s="1429">
        <f ca="1">IF(AND(DI10=0,A10=""),AM10,IF(DI10=0,AM10+VLOOKUP(AX10,[10]Critérium!$AC$49:$DH$100,84,FALSE),AM10+VLOOKUP(AX10,[10]Critérium!$B$6:$V$22,21,FALSE)+VLOOKUP(AX10,[10]Critérium!$AC$49:$DH$100,84,FALSE)))</f>
        <v>54</v>
      </c>
      <c r="DH10" s="1430">
        <f ca="1">IF(DG10=0,0,(DE10/DG10+RAND()*0.0001))</f>
        <v>0.53710195046230647</v>
      </c>
      <c r="DI10" s="1429">
        <f>VLOOKUP(AX10,[10]liste!AN:AR,5,FALSE)</f>
        <v>0</v>
      </c>
      <c r="DJ10" s="1427">
        <f ca="1">DG10+RAND()</f>
        <v>54.699676478836444</v>
      </c>
      <c r="DK10" s="1427" t="str">
        <f>A10</f>
        <v>Morin Emmanuel</v>
      </c>
      <c r="DL10" s="1427"/>
      <c r="DM10" s="1428">
        <f>HLOOKUP($DM$1,$C$1:$P$70,10,FALSE)</f>
        <v>3</v>
      </c>
      <c r="DN10" s="1428">
        <f>HLOOKUP($DN$1,$Q$1:$AD$70,10,FALSE)</f>
        <v>1</v>
      </c>
      <c r="DO10" s="1401"/>
      <c r="DP10" s="1401"/>
      <c r="DR10" s="1400">
        <f>IF(SUM(C10:P10)=0,0,(AE10*10/SUM(C10:P10)/2)*AE10/21)</f>
        <v>1.1428571428571428</v>
      </c>
      <c r="DT10" s="299"/>
      <c r="DU10" s="299"/>
      <c r="DV10" s="299"/>
      <c r="DW10" s="299"/>
      <c r="DX10" s="299"/>
      <c r="DY10" s="299"/>
      <c r="DZ10" s="299"/>
      <c r="EA10" s="299"/>
    </row>
    <row r="11" spans="1:131" s="1427" customFormat="1" ht="21.95" customHeight="1">
      <c r="A11" s="1477" t="str">
        <f>[10]points!B38</f>
        <v>Cojean Youen</v>
      </c>
      <c r="B11" s="1476">
        <v>3</v>
      </c>
      <c r="C11" s="1428">
        <v>2</v>
      </c>
      <c r="D11" s="1428">
        <v>2</v>
      </c>
      <c r="E11" s="1428">
        <v>2</v>
      </c>
      <c r="F11" s="1428">
        <v>2</v>
      </c>
      <c r="G11" s="1428">
        <v>2</v>
      </c>
      <c r="H11" s="1428">
        <v>2</v>
      </c>
      <c r="I11" s="1475">
        <v>2</v>
      </c>
      <c r="J11" s="1428">
        <v>3</v>
      </c>
      <c r="K11" s="1428">
        <v>3</v>
      </c>
      <c r="L11" s="1428">
        <v>2</v>
      </c>
      <c r="M11" s="1428">
        <v>3</v>
      </c>
      <c r="N11" s="1428"/>
      <c r="O11" s="1428">
        <v>3</v>
      </c>
      <c r="P11" s="1474">
        <v>3</v>
      </c>
      <c r="Q11" s="1472">
        <v>2</v>
      </c>
      <c r="R11" s="1471">
        <v>2</v>
      </c>
      <c r="S11" s="1471">
        <v>1</v>
      </c>
      <c r="T11" s="1471">
        <v>1</v>
      </c>
      <c r="U11" s="1471">
        <v>3</v>
      </c>
      <c r="V11" s="1471">
        <v>3</v>
      </c>
      <c r="W11" s="1473">
        <v>0</v>
      </c>
      <c r="X11" s="1472">
        <v>3</v>
      </c>
      <c r="Y11" s="1471">
        <v>1</v>
      </c>
      <c r="Z11" s="1471">
        <v>2</v>
      </c>
      <c r="AA11" s="1471">
        <v>1</v>
      </c>
      <c r="AB11" s="1471"/>
      <c r="AC11" s="1471">
        <v>2</v>
      </c>
      <c r="AD11" s="1471">
        <v>1</v>
      </c>
      <c r="AE11" s="1458">
        <f>IF(B11="","",COUNTIF(C11:P11,"&gt;0"))</f>
        <v>13</v>
      </c>
      <c r="AF11" s="1470">
        <f>SUM(Q11:W11)</f>
        <v>12</v>
      </c>
      <c r="AG11" s="1470">
        <f>SUM(CQ11:CW11)</f>
        <v>21</v>
      </c>
      <c r="AH11" s="1469">
        <f ca="1">IF(AG11=0,"X",IF(AG11&lt;LARGE(AG$2:AG$70,1)/3,"NS",RAND()*0.00001+AF11/AG11))</f>
        <v>0.57143799113390803</v>
      </c>
      <c r="AI11" s="1470">
        <f>SUM(X11:AD11)</f>
        <v>10</v>
      </c>
      <c r="AJ11" s="1470">
        <f>SUM(CX11:DD11)</f>
        <v>18</v>
      </c>
      <c r="AK11" s="1469">
        <f ca="1">IF(AJ11=0,"X",IF(AJ11&lt;LARGE(AJ$2:AJ$70,1)/4,"NS",RAND()*0.00001+AI11/AJ11))</f>
        <v>0.55556474342067319</v>
      </c>
      <c r="AL11" s="1470">
        <f>SUM(Q11:AD11)</f>
        <v>22</v>
      </c>
      <c r="AM11" s="1470">
        <f>SUM(CQ11:DD11)</f>
        <v>39</v>
      </c>
      <c r="AN11" s="1469">
        <f ca="1">IF(AM11=0,"X",IF(AM11&lt;LARGE(AM$2:AM$70,1)/3,"NS",RAND()*0.00001+AL11/AM11))</f>
        <v>0.5641045852981359</v>
      </c>
      <c r="AO11" s="1437">
        <f ca="1">IF(B11="",10,B11+RAND()*0.01)</f>
        <v>3.0078612421244815</v>
      </c>
      <c r="AP11" s="1437">
        <f ca="1">IF(AND(C11="",J11=""),"e",IF(J11="",IF($BD$1&lt;=7,C11+RAND()*0.01,"e"),J11+RAND()*0.01))</f>
        <v>3.0058317231117959</v>
      </c>
      <c r="AQ11" s="1437">
        <f ca="1">IF(AND(D11="",K11=""),"e",IF(K11="",IF($BD$1&lt;=7,D11+RAND()*0.01,"e"),K11+RAND()*0.01))</f>
        <v>3.0017893891580845</v>
      </c>
      <c r="AR11" s="1437">
        <f ca="1">IF(AND(E11="",L11=""),"e",IF(L11="",IF($BD$1&lt;=7,E11+RAND()*0.01,"e"),L11+RAND()*0.01))</f>
        <v>2.0072825221881896</v>
      </c>
      <c r="AS11" s="1437">
        <f ca="1">IF(AND(F11="",M11=""),"e",IF(M11="",IF($BD$1&lt;=7,F11+RAND()*0.01,"e"),M11+RAND()*0.01))</f>
        <v>3.0089878119826192</v>
      </c>
      <c r="AT11" s="1437" t="str">
        <f ca="1">IF(AND(G11="",N11=""),"e",IF(N11="",IF($BD$1&lt;=7,G11+RAND()*0.01,"e"),N11+RAND()*0.01))</f>
        <v>e</v>
      </c>
      <c r="AU11" s="1437">
        <f ca="1">IF(AND(H11="",O11=""),"e",IF(O11="",IF($BD$1&lt;=7,H11+RAND()*0.01,"e"),O11+RAND()*0.01))</f>
        <v>3.0030114001625949</v>
      </c>
      <c r="AV11" s="1437">
        <f ca="1">IF(AND(I11="",P11=""),"e",IF(P11="",IF($BD$1&lt;=7,I11+RAND()*0.01,"e"),P11+RAND()*0.01))</f>
        <v>3.0087837444646799</v>
      </c>
      <c r="AW11" s="1437"/>
      <c r="AX11" s="1436" t="str">
        <f>A11</f>
        <v>Cojean Youen</v>
      </c>
      <c r="AY11" s="1580" t="str">
        <f>IF(OR($H$2&gt;0,$H$3&gt;0,$H$4&gt;0,$H$5&gt;0,$H$6&gt;0,$H$7&gt;0,$H$8&gt;0,$H$2&gt;0),"",IF(COUNTIF(C11:H11,"")&gt;=5,"",IF(COUNTIF(C11:H11,SMALL(C11:H11,1))&gt;=2,SMALL(C11:H11,1),SMALL(C11:H11,2))))</f>
        <v/>
      </c>
      <c r="AZ11" s="1581">
        <f>IF(COUNTIF(J11:O11,"")&gt;=5,"",IF(COUNTIF(J11:O11,SMALL(J11:O11,1))&gt;=2,SMALL(J11:O11,1),SMALL(J11:O11,2)))</f>
        <v>3</v>
      </c>
      <c r="BA11" s="1401"/>
      <c r="BB11" s="1590" t="s">
        <v>749</v>
      </c>
      <c r="BC11" s="1581" t="str">
        <f ca="1">IF(BB11="",IF(TODAY()&lt;[10]cal.Ph1!$B$41,"",IF($BD$1&lt;=$BA$1,"..........??......... "&amp;VLOOKUP("journée n° "&amp;$BD$1+1,'[10]résultats des équipes'!$B$1:$F$110,5,FALSE)&amp;" "&amp;VLOOKUP($BD$1,'[10]résultats des équipes'!$E$90:$AL$103,4,FALSE)," contre "&amp;VLOOKUP($BD$1,'[10]résultats des équipes'!$E$90:$AL$103,4,FALSE))),IF(TODAY()&lt;[10]cal.Ph1!$B$41,"",IF($BD$1&lt;=$BA$1,VLOOKUP($BD$1,'[10]résultats des équipes'!$E$90:$AL$103,2,FALSE)&amp;" contre "&amp;VLOOKUP($BD$1,'[10]résultats des équipes'!$E$90:$AL$103,4,FALSE)," contre "&amp;VLOOKUP($BD$1,'[10]résultats des équipes'!$E$90:$AL$103,4,FALSE))))</f>
        <v>Vict 10 - 4 contre RP FOUESNANT 5</v>
      </c>
      <c r="BD11" s="1591"/>
      <c r="BE11" s="1592"/>
      <c r="BF11" s="1590"/>
      <c r="BG11" s="1590"/>
      <c r="BH11" s="1590"/>
      <c r="BI11" s="1590"/>
      <c r="BJ11" s="1590"/>
      <c r="BK11" s="1593"/>
      <c r="BL11" s="1590" t="s">
        <v>749</v>
      </c>
      <c r="BM11" s="1581" t="str">
        <f ca="1">IF(BL11="",IF(TODAY()&lt;[10]cal.Ph1!$B$41,"",IF($BD$1&lt;=$BA$1,"..........??........  "&amp;VLOOKUP("journée n° "&amp;$BD$1+1,'[10]résultats des équipes'!$B$1:$L$110,11,FALSE)&amp;" "&amp;VLOOKUP($BD$1,'[10]résultats des équipes'!$E$90:$AL$103,10,FALSE)," contre "&amp;VLOOKUP($BD$1,'[10]résultats des équipes'!$E$90:$AL$103,10,FALSE))),IF(TODAY()&lt;[10]cal.Ph1!$B$41,"",IF($BD$1&lt;=$BA$1,VLOOKUP($BD$1,'[10]résultats des équipes'!$E$90:$AL$103,8,FALSE)&amp;" contre "&amp;VLOOKUP($BD$1,'[10]résultats des équipes'!$E$90:$AL$103,10,FALSE)," contre "&amp;VLOOKUP($BD$1,'[10]résultats des équipes'!$E$90:$AL$103,10,FALSE))))</f>
        <v>Vict 12 - 2 contre L. PLOERMEL 3</v>
      </c>
      <c r="BN11" s="1591"/>
      <c r="BO11" s="1592"/>
      <c r="BP11" s="1594"/>
      <c r="BQ11" s="1594"/>
      <c r="BR11" s="1594"/>
      <c r="BS11" s="1594"/>
      <c r="BT11" s="1594"/>
      <c r="BU11" s="1593"/>
      <c r="BV11" s="1401" t="s">
        <v>781</v>
      </c>
      <c r="BW11" s="1401"/>
      <c r="BX11" s="1401"/>
      <c r="BY11" s="561">
        <f ca="1">IF($BD$1&lt;=7,COUNTIF($C11:$I11,"1")+RAND()*0.0001,COUNTIF($J11:$P11,"1")+RAND()*0.0001)</f>
        <v>6.4555970226617317E-5</v>
      </c>
      <c r="BZ11" s="561" t="str">
        <f ca="1">IF(BY11&lt;1,"",AX11)</f>
        <v/>
      </c>
      <c r="CA11" s="561">
        <f ca="1">IF($BD$1&lt;=7,COUNTIF($C11:$I11,"2")+RAND()*0.0001,COUNTIF($J11:$P11,"2")+RAND()*0.0001)</f>
        <v>1.0000053465918119</v>
      </c>
      <c r="CB11" s="561" t="str">
        <f ca="1">IF(CA11&lt;1,"",AX11)</f>
        <v>Cojean Youen</v>
      </c>
      <c r="CC11" s="561">
        <f ca="1">IF($BD$1&lt;=7,COUNTIF($C11:$I11,"3")+RAND()*0.0001,COUNTIF($J11:$P11,"3")+RAND()*0.0001)</f>
        <v>5.000033284178425</v>
      </c>
      <c r="CD11" s="561" t="str">
        <f ca="1">IF(CC11&lt;1,"",AX11)</f>
        <v>Cojean Youen</v>
      </c>
      <c r="CE11" s="561">
        <f ca="1">IF($BD$1&lt;=7,COUNTIF($C11:$I11,"4")+RAND()*0.0001,COUNTIF($J11:$P11,"4")+RAND()*0.0001)</f>
        <v>9.0674623146520244E-5</v>
      </c>
      <c r="CF11" s="561" t="str">
        <f ca="1">IF(CE11&lt;1,"",AX11)</f>
        <v/>
      </c>
      <c r="CG11" s="561">
        <f ca="1">IF($BD$1&lt;=7,COUNTIF($C11:$I11,"5")+RAND()*0.0001,COUNTIF($J11:$P11,"5")+RAND()*0.0001)</f>
        <v>2.7019421572190449E-5</v>
      </c>
      <c r="CH11" s="561" t="str">
        <f ca="1">IF(CG11&lt;1,"",AX11)</f>
        <v/>
      </c>
      <c r="CI11" s="561">
        <f ca="1">IF($BD$1&lt;=7,COUNTIF($C11:$I11,"6")+RAND()*0.0001,COUNTIF($J11:$P11,"6")+RAND()*0.0001)</f>
        <v>3.044707883965291E-5</v>
      </c>
      <c r="CJ11" s="561" t="str">
        <f ca="1">IF(CI11&lt;1,"",AX11)</f>
        <v/>
      </c>
      <c r="CK11" s="561">
        <f ca="1">IF($BD$1&lt;=7,COUNTIF($C11:$I11,"7")+RAND()*0.0001,COUNTIF($J11:$P11,"7")+RAND()*0.0001)</f>
        <v>2.7653109287511405E-5</v>
      </c>
      <c r="CL11" s="561" t="str">
        <f ca="1">IF(CK11&lt;1,"",AX11)</f>
        <v/>
      </c>
      <c r="CM11" s="561">
        <f ca="1">IF($BD$1&lt;=7,COUNTIF($C11:$I11,"8")+RAND()*0.0001,COUNTIF($J11:$P11,"8")+RAND()*0.0001)</f>
        <v>5.6752313463311732E-5</v>
      </c>
      <c r="CN11" s="561" t="str">
        <f ca="1">IF(CM11&lt;1,"",AX11)</f>
        <v/>
      </c>
      <c r="CO11" s="1530">
        <v>0</v>
      </c>
      <c r="CP11" s="1401">
        <f ca="1">AE11+RAND()*0.01</f>
        <v>13.005221536322733</v>
      </c>
      <c r="CQ11" s="1433">
        <f>VLOOKUP(C11,$CO$2:$DF$11,18,FALSE)</f>
        <v>3</v>
      </c>
      <c r="CR11" s="1433">
        <f>VLOOKUP(D11,$CO$2:$DF$11,18,FALSE)</f>
        <v>3</v>
      </c>
      <c r="CS11" s="1433">
        <f>VLOOKUP(E11,$CO$2:$DF$11,18,FALSE)</f>
        <v>3</v>
      </c>
      <c r="CT11" s="1433">
        <f>VLOOKUP(F11,$CO$2:$DF$11,18,FALSE)</f>
        <v>3</v>
      </c>
      <c r="CU11" s="1433">
        <f>VLOOKUP(G11,$CO$2:$DF$11,18,FALSE)</f>
        <v>3</v>
      </c>
      <c r="CV11" s="1433">
        <f>VLOOKUP(H11,$CO$2:$DF$11,18,FALSE)</f>
        <v>3</v>
      </c>
      <c r="CW11" s="1433">
        <f>VLOOKUP(I11,$CO$2:$DF$11,18,FALSE)</f>
        <v>3</v>
      </c>
      <c r="CX11" s="1433">
        <f>VLOOKUP(J11,$CO$2:$DF$11,18,FALSE)</f>
        <v>3</v>
      </c>
      <c r="CY11" s="1433">
        <f>VLOOKUP(K11,$CO$2:$DF$11,18,FALSE)</f>
        <v>3</v>
      </c>
      <c r="CZ11" s="1433">
        <f>VLOOKUP(L11,$CO$2:$DF$11,18,FALSE)</f>
        <v>3</v>
      </c>
      <c r="DA11" s="1433">
        <f>VLOOKUP(M11,$CO$2:$DF$11,18,FALSE)</f>
        <v>3</v>
      </c>
      <c r="DB11" s="1433">
        <f>VLOOKUP(N11,$CO$2:$DF$11,18,FALSE)</f>
        <v>0</v>
      </c>
      <c r="DC11" s="1433">
        <f>VLOOKUP(O11,$CO$2:$DF$11,18,FALSE)</f>
        <v>3</v>
      </c>
      <c r="DD11" s="1433">
        <f>VLOOKUP(P11,$CO$2:$DF$11,18,FALSE)</f>
        <v>3</v>
      </c>
      <c r="DE11" s="1432">
        <f ca="1">IF(AND(DI11=0,A11=""),AL11,IF(DI11=0,AL11+VLOOKUP(AX11,[10]Critérium!$AC$49:$DE$100,81,FALSE),AL11+VLOOKUP(AX11,[10]Critérium!$B$6:$T$22,19,FALSE)+VLOOKUP(AX11,[10]Critérium!$AC$49:$DE$100,81,FALSE)))</f>
        <v>34</v>
      </c>
      <c r="DF11" s="1530">
        <v>0</v>
      </c>
      <c r="DG11" s="1429">
        <f ca="1">IF(AND(DI11=0,A11=""),AM11,IF(DI11=0,AM11+VLOOKUP(AX11,[10]Critérium!$AC$49:$DH$100,84,FALSE),AM11+VLOOKUP(AX11,[10]Critérium!$B$6:$V$22,21,FALSE)+VLOOKUP(AX11,[10]Critérium!$AC$49:$DH$100,84,FALSE)))</f>
        <v>63</v>
      </c>
      <c r="DH11" s="1430">
        <f ca="1">IF(DG11=0,0,(DE11/DG11+RAND()*0.0001))</f>
        <v>0.53970687811074136</v>
      </c>
      <c r="DI11" s="1429" t="str">
        <f>VLOOKUP(AX11,[10]liste!AN:AR,5,FALSE)</f>
        <v>x</v>
      </c>
      <c r="DJ11" s="1427">
        <f ca="1">DG11+RAND()</f>
        <v>63.174202965467984</v>
      </c>
      <c r="DK11" s="1427" t="str">
        <f>A11</f>
        <v>Cojean Youen</v>
      </c>
      <c r="DM11" s="1428">
        <f>HLOOKUP($DM$1,$C$1:$P$70,11,FALSE)</f>
        <v>3</v>
      </c>
      <c r="DN11" s="1428">
        <f>HLOOKUP($DN$1,$Q$1:$AD$70,11,FALSE)</f>
        <v>1</v>
      </c>
      <c r="DO11" s="1401"/>
      <c r="DP11" s="1401"/>
      <c r="DQ11" s="1401"/>
      <c r="DR11" s="1400">
        <f>IF(SUM(C11:P11)=0,0,(AE11*10/SUM(C11:P11)/2)*AE11/21)</f>
        <v>1.2980030721966205</v>
      </c>
      <c r="DT11" s="1444"/>
      <c r="DU11" s="1444"/>
      <c r="DV11" s="1444"/>
      <c r="DW11" s="1444"/>
      <c r="DX11" s="1444"/>
      <c r="DY11" s="1444"/>
      <c r="DZ11" s="1444"/>
      <c r="EA11" s="1444"/>
    </row>
    <row r="12" spans="1:131" s="1427" customFormat="1" ht="21.95" customHeight="1">
      <c r="A12" s="1477" t="str">
        <f>[10]points!B37</f>
        <v>Le Garnec Sacha</v>
      </c>
      <c r="B12" s="1476">
        <v>3</v>
      </c>
      <c r="C12" s="1428">
        <v>2</v>
      </c>
      <c r="D12" s="1428">
        <v>2</v>
      </c>
      <c r="E12" s="1428">
        <v>2</v>
      </c>
      <c r="F12" s="1428">
        <v>2</v>
      </c>
      <c r="G12" s="1428">
        <v>2</v>
      </c>
      <c r="H12" s="1428">
        <v>2</v>
      </c>
      <c r="I12" s="1475">
        <v>2</v>
      </c>
      <c r="J12" s="1428">
        <v>3</v>
      </c>
      <c r="K12" s="1428">
        <v>3</v>
      </c>
      <c r="L12" s="1428">
        <v>3</v>
      </c>
      <c r="M12" s="1428">
        <v>3</v>
      </c>
      <c r="N12" s="1428"/>
      <c r="O12" s="1428">
        <v>3</v>
      </c>
      <c r="P12" s="1474">
        <v>3</v>
      </c>
      <c r="Q12" s="1472">
        <v>2</v>
      </c>
      <c r="R12" s="1471">
        <v>2</v>
      </c>
      <c r="S12" s="1471">
        <v>0</v>
      </c>
      <c r="T12" s="1471">
        <v>2</v>
      </c>
      <c r="U12" s="1471">
        <v>3</v>
      </c>
      <c r="V12" s="1471">
        <v>2</v>
      </c>
      <c r="W12" s="1473">
        <v>1</v>
      </c>
      <c r="X12" s="1472">
        <v>2</v>
      </c>
      <c r="Y12" s="1471">
        <v>2</v>
      </c>
      <c r="Z12" s="1471">
        <v>2</v>
      </c>
      <c r="AA12" s="1471">
        <v>1</v>
      </c>
      <c r="AB12" s="1471"/>
      <c r="AC12" s="1471">
        <v>3</v>
      </c>
      <c r="AD12" s="1471">
        <v>1</v>
      </c>
      <c r="AE12" s="1458">
        <f>IF(B12="","",COUNTIF(C12:P12,"&gt;0"))</f>
        <v>13</v>
      </c>
      <c r="AF12" s="1470">
        <f>SUM(Q12:W12)</f>
        <v>12</v>
      </c>
      <c r="AG12" s="1470">
        <f>SUM(CQ12:CW12)</f>
        <v>21</v>
      </c>
      <c r="AH12" s="1469">
        <f ca="1">IF(AG12=0,"X",IF(AG12&lt;LARGE(AG$2:AG$70,1)/3,"NS",RAND()*0.00001+AF12/AG12))</f>
        <v>0.57143607410625841</v>
      </c>
      <c r="AI12" s="1470">
        <f>SUM(X12:AD12)</f>
        <v>11</v>
      </c>
      <c r="AJ12" s="1470">
        <f>SUM(CX12:DD12)</f>
        <v>18</v>
      </c>
      <c r="AK12" s="1469">
        <f ca="1">IF(AJ12=0,"X",IF(AJ12&lt;LARGE(AJ$2:AJ$70,1)/4,"NS",RAND()*0.00001+AI12/AJ12))</f>
        <v>0.61111649441854232</v>
      </c>
      <c r="AL12" s="1470">
        <f>SUM(Q12:AD12)</f>
        <v>23</v>
      </c>
      <c r="AM12" s="1470">
        <f>SUM(CQ12:DD12)</f>
        <v>39</v>
      </c>
      <c r="AN12" s="1469">
        <f ca="1">IF(AM12=0,"X",IF(AM12&lt;LARGE(AM$2:AM$70,1)/3,"NS",RAND()*0.00001+AL12/AM12))</f>
        <v>0.58974528788041281</v>
      </c>
      <c r="AO12" s="1437">
        <f ca="1">IF(B12="",10,B12+RAND()*0.01)</f>
        <v>3.0043884384215347</v>
      </c>
      <c r="AP12" s="1437">
        <f ca="1">IF(AND(C12="",J12=""),"e",IF(J12="",IF($BD$1&lt;=7,C12+RAND()*0.01,"e"),J12+RAND()*0.01))</f>
        <v>3.0068345194008645</v>
      </c>
      <c r="AQ12" s="1437">
        <f ca="1">IF(AND(D12="",K12=""),"e",IF(K12="",IF($BD$1&lt;=7,D12+RAND()*0.01,"e"),K12+RAND()*0.01))</f>
        <v>3.0082976196626521</v>
      </c>
      <c r="AR12" s="1437">
        <f ca="1">IF(AND(E12="",L12=""),"e",IF(L12="",IF($BD$1&lt;=7,E12+RAND()*0.01,"e"),L12+RAND()*0.01))</f>
        <v>3.0030090340154718</v>
      </c>
      <c r="AS12" s="1437">
        <f ca="1">IF(AND(F12="",M12=""),"e",IF(M12="",IF($BD$1&lt;=7,F12+RAND()*0.01,"e"),M12+RAND()*0.01))</f>
        <v>3.0064856399829223</v>
      </c>
      <c r="AT12" s="1437" t="str">
        <f ca="1">IF(AND(G12="",N12=""),"e",IF(N12="",IF($BD$1&lt;=7,G12+RAND()*0.01,"e"),N12+RAND()*0.01))</f>
        <v>e</v>
      </c>
      <c r="AU12" s="1437">
        <f ca="1">IF(AND(H12="",O12=""),"e",IF(O12="",IF($BD$1&lt;=7,H12+RAND()*0.01,"e"),O12+RAND()*0.01))</f>
        <v>3.0007626210004079</v>
      </c>
      <c r="AV12" s="1437">
        <f ca="1">IF(AND(I12="",P12=""),"e",IF(P12="",IF($BD$1&lt;=7,I12+RAND()*0.01,"e"),P12+RAND()*0.01))</f>
        <v>3.0047670971500717</v>
      </c>
      <c r="AW12" s="1437"/>
      <c r="AX12" s="1436" t="str">
        <f>A12</f>
        <v>Le Garnec Sacha</v>
      </c>
      <c r="AY12" s="1580" t="str">
        <f>IF(OR($H$2&gt;0,$H$3&gt;0,$H$4&gt;0,$H$5&gt;0,$H$6&gt;0,$H$7&gt;0,$H$8&gt;0,$H$2&gt;0),"",IF(COUNTIF(C12:H12,"")&gt;=5,"",IF(COUNTIF(C12:H12,SMALL(C12:H12,1))&gt;=2,SMALL(C12:H12,1),SMALL(C12:H12,2))))</f>
        <v/>
      </c>
      <c r="AZ12" s="1581">
        <f>IF(COUNTIF(J12:O12,"")&gt;=5,"",IF(COUNTIF(J12:O12,SMALL(J12:O12,1))&gt;=2,SMALL(J12:O12,1),SMALL(J12:O12,2)))</f>
        <v>3</v>
      </c>
      <c r="BA12" s="1401"/>
      <c r="BB12" s="1595" t="str">
        <f>VLOOKUP("journée "&amp;$BD$1,'[10]résultats commentaires'!R24:T37,3,FALSE)</f>
        <v>Une petite dernière pour 2014-2015 en attendant ...</v>
      </c>
      <c r="BC12" s="1592"/>
      <c r="BD12" s="1596"/>
      <c r="BE12" s="1597"/>
      <c r="BF12" s="1597"/>
      <c r="BG12" s="1597"/>
      <c r="BH12" s="1597"/>
      <c r="BI12" s="1597"/>
      <c r="BJ12" s="1597"/>
      <c r="BK12" s="1590"/>
      <c r="BL12" s="1595" t="str">
        <f>VLOOKUP("journée "&amp;$BD$1,'[10]résultats commentaires'!R47:T60,3,FALSE)</f>
        <v>La pré en cadeau bien mérité</v>
      </c>
      <c r="BM12" s="1590"/>
      <c r="BN12" s="1590"/>
      <c r="BO12" s="1590"/>
      <c r="BP12" s="1590"/>
      <c r="BQ12" s="1590"/>
      <c r="BR12" s="1590"/>
      <c r="BS12" s="1590"/>
      <c r="BT12" s="1590"/>
      <c r="BU12" s="1590"/>
      <c r="BV12" s="1529"/>
      <c r="BW12" s="1478"/>
      <c r="BX12" s="1512"/>
      <c r="BY12" s="561">
        <f ca="1">IF($BD$1&lt;=7,COUNTIF($C12:$I12,"1")+RAND()*0.0001,COUNTIF($J12:$P12,"1")+RAND()*0.0001)</f>
        <v>1.0293125902559719E-5</v>
      </c>
      <c r="BZ12" s="561" t="str">
        <f ca="1">IF(BY12&lt;1,"",AX12)</f>
        <v/>
      </c>
      <c r="CA12" s="561">
        <f ca="1">IF($BD$1&lt;=7,COUNTIF($C12:$I12,"2")+RAND()*0.0001,COUNTIF($J12:$P12,"2")+RAND()*0.0001)</f>
        <v>4.9511178493255218E-5</v>
      </c>
      <c r="CB12" s="561" t="str">
        <f ca="1">IF(CA12&lt;1,"",AX12)</f>
        <v/>
      </c>
      <c r="CC12" s="561">
        <f ca="1">IF($BD$1&lt;=7,COUNTIF($C12:$I12,"3")+RAND()*0.0001,COUNTIF($J12:$P12,"3")+RAND()*0.0001)</f>
        <v>6.0000746758681691</v>
      </c>
      <c r="CD12" s="561" t="str">
        <f ca="1">IF(CC12&lt;1,"",AX12)</f>
        <v>Le Garnec Sacha</v>
      </c>
      <c r="CE12" s="561">
        <f ca="1">IF($BD$1&lt;=7,COUNTIF($C12:$I12,"4")+RAND()*0.0001,COUNTIF($J12:$P12,"4")+RAND()*0.0001)</f>
        <v>7.2428767777844873E-5</v>
      </c>
      <c r="CF12" s="561" t="str">
        <f ca="1">IF(CE12&lt;1,"",AX12)</f>
        <v/>
      </c>
      <c r="CG12" s="561">
        <f ca="1">IF($BD$1&lt;=7,COUNTIF($C12:$I12,"5")+RAND()*0.0001,COUNTIF($J12:$P12,"5")+RAND()*0.0001)</f>
        <v>1.8886234204652544E-5</v>
      </c>
      <c r="CH12" s="561" t="str">
        <f ca="1">IF(CG12&lt;1,"",AX12)</f>
        <v/>
      </c>
      <c r="CI12" s="561">
        <f ca="1">IF($BD$1&lt;=7,COUNTIF($C12:$I12,"6")+RAND()*0.0001,COUNTIF($J12:$P12,"6")+RAND()*0.0001)</f>
        <v>8.8958643485167424E-5</v>
      </c>
      <c r="CJ12" s="561" t="str">
        <f ca="1">IF(CI12&lt;1,"",AX12)</f>
        <v/>
      </c>
      <c r="CK12" s="561">
        <f ca="1">IF($BD$1&lt;=7,COUNTIF($C12:$I12,"7")+RAND()*0.0001,COUNTIF($J12:$P12,"7")+RAND()*0.0001)</f>
        <v>4.8037561930386135E-5</v>
      </c>
      <c r="CL12" s="561" t="str">
        <f ca="1">IF(CK12&lt;1,"",AX12)</f>
        <v/>
      </c>
      <c r="CM12" s="561">
        <f ca="1">IF($BD$1&lt;=7,COUNTIF($C12:$I12,"8")+RAND()*0.0001,COUNTIF($J12:$P12,"8")+RAND()*0.0001)</f>
        <v>5.3182380220733465E-5</v>
      </c>
      <c r="CN12" s="561" t="str">
        <f ca="1">IF(CM12&lt;1,"",AX12)</f>
        <v/>
      </c>
      <c r="CO12" s="1401"/>
      <c r="CP12" s="1401">
        <f ca="1">AE12+RAND()*0.01</f>
        <v>13.00195746055633</v>
      </c>
      <c r="CQ12" s="1433">
        <f>VLOOKUP(C12,$CO$2:$DF$11,18,FALSE)</f>
        <v>3</v>
      </c>
      <c r="CR12" s="1433">
        <f>VLOOKUP(D12,$CO$2:$DF$11,18,FALSE)</f>
        <v>3</v>
      </c>
      <c r="CS12" s="1433">
        <f>VLOOKUP(E12,$CO$2:$DF$11,18,FALSE)</f>
        <v>3</v>
      </c>
      <c r="CT12" s="1433">
        <f>VLOOKUP(F12,$CO$2:$DF$11,18,FALSE)</f>
        <v>3</v>
      </c>
      <c r="CU12" s="1433">
        <f>VLOOKUP(G12,$CO$2:$DF$11,18,FALSE)</f>
        <v>3</v>
      </c>
      <c r="CV12" s="1433">
        <f>VLOOKUP(H12,$CO$2:$DF$11,18,FALSE)</f>
        <v>3</v>
      </c>
      <c r="CW12" s="1433">
        <f>VLOOKUP(I12,$CO$2:$DF$11,18,FALSE)</f>
        <v>3</v>
      </c>
      <c r="CX12" s="1433">
        <f>VLOOKUP(J12,$CO$2:$DF$11,18,FALSE)</f>
        <v>3</v>
      </c>
      <c r="CY12" s="1433">
        <f>VLOOKUP(K12,$CO$2:$DF$11,18,FALSE)</f>
        <v>3</v>
      </c>
      <c r="CZ12" s="1433">
        <f>VLOOKUP(L12,$CO$2:$DF$11,18,FALSE)</f>
        <v>3</v>
      </c>
      <c r="DA12" s="1433">
        <f>VLOOKUP(M12,$CO$2:$DF$11,18,FALSE)</f>
        <v>3</v>
      </c>
      <c r="DB12" s="1433">
        <f>VLOOKUP(N12,$CO$2:$DF$11,18,FALSE)</f>
        <v>0</v>
      </c>
      <c r="DC12" s="1433">
        <f>VLOOKUP(O12,$CO$2:$DF$11,18,FALSE)</f>
        <v>3</v>
      </c>
      <c r="DD12" s="1433">
        <f>VLOOKUP(P12,$CO$2:$DF$11,18,FALSE)</f>
        <v>3</v>
      </c>
      <c r="DE12" s="1432">
        <f ca="1">IF(AND(DI12=0,A12=""),AL12,IF(DI12=0,AL12+VLOOKUP(AX12,[10]Critérium!$AC$49:$DE$100,81,FALSE),AL12+VLOOKUP(AX12,[10]Critérium!$B$6:$T$22,19,FALSE)+VLOOKUP(AX12,[10]Critérium!$AC$49:$DE$100,81,FALSE)))</f>
        <v>24</v>
      </c>
      <c r="DF12" s="1431"/>
      <c r="DG12" s="1429">
        <f ca="1">IF(AND(DI12=0,A12=""),AM12,IF(DI12=0,AM12+VLOOKUP(AX12,[10]Critérium!$AC$49:$DH$100,84,FALSE),AM12+VLOOKUP(AX12,[10]Critérium!$B$6:$V$22,21,FALSE)+VLOOKUP(AX12,[10]Critérium!$AC$49:$DH$100,84,FALSE)))</f>
        <v>42</v>
      </c>
      <c r="DH12" s="1430">
        <f ca="1">IF(DG12=0,0,(DE12/DG12+RAND()*0.0001))</f>
        <v>0.57147276363751731</v>
      </c>
      <c r="DI12" s="1429">
        <f>VLOOKUP(AX12,[10]liste!AN:AR,5,FALSE)</f>
        <v>0</v>
      </c>
      <c r="DJ12" s="1427">
        <f ca="1">DG12+RAND()</f>
        <v>42.188935688824422</v>
      </c>
      <c r="DK12" s="1427" t="str">
        <f>A12</f>
        <v>Le Garnec Sacha</v>
      </c>
      <c r="DM12" s="1428">
        <f>HLOOKUP($DM$1,$C$1:$P$70,12,FALSE)</f>
        <v>3</v>
      </c>
      <c r="DN12" s="1428">
        <f>HLOOKUP($DN$1,$Q$1:$AD$70,12,FALSE)</f>
        <v>1</v>
      </c>
      <c r="DO12" s="1401"/>
      <c r="DP12" s="1401"/>
      <c r="DQ12" s="1401"/>
      <c r="DR12" s="1400">
        <f>IF(SUM(C12:P12)=0,0,(AE12*10/SUM(C12:P12)/2)*AE12/21)</f>
        <v>1.2574404761904763</v>
      </c>
      <c r="DT12" s="1444"/>
      <c r="DU12" s="1444"/>
      <c r="DV12" s="1444"/>
      <c r="DW12" s="1444"/>
      <c r="DX12" s="1444"/>
      <c r="DY12" s="1444"/>
      <c r="DZ12" s="1444"/>
      <c r="EA12" s="1444"/>
    </row>
    <row r="13" spans="1:131" s="1517" customFormat="1" ht="21.95" customHeight="1">
      <c r="A13" s="1500" t="str">
        <f>[10]points!B32</f>
        <v>Hilton Franck</v>
      </c>
      <c r="B13" s="1499">
        <v>3</v>
      </c>
      <c r="C13" s="1497">
        <v>2</v>
      </c>
      <c r="D13" s="1497">
        <v>2</v>
      </c>
      <c r="E13" s="1497">
        <v>2</v>
      </c>
      <c r="F13" s="1497">
        <v>2</v>
      </c>
      <c r="G13" s="1497">
        <v>2</v>
      </c>
      <c r="H13" s="1497">
        <v>2</v>
      </c>
      <c r="I13" s="1498">
        <v>2</v>
      </c>
      <c r="J13" s="1497">
        <v>3</v>
      </c>
      <c r="K13" s="1497">
        <v>3</v>
      </c>
      <c r="L13" s="1497">
        <v>3</v>
      </c>
      <c r="M13" s="1497">
        <v>3</v>
      </c>
      <c r="N13" s="1497"/>
      <c r="O13" s="1497">
        <v>2</v>
      </c>
      <c r="P13" s="1496">
        <v>2</v>
      </c>
      <c r="Q13" s="1494">
        <v>3</v>
      </c>
      <c r="R13" s="1493">
        <v>2</v>
      </c>
      <c r="S13" s="1493">
        <v>2</v>
      </c>
      <c r="T13" s="1493">
        <v>3</v>
      </c>
      <c r="U13" s="1493">
        <v>3</v>
      </c>
      <c r="V13" s="1493">
        <v>3</v>
      </c>
      <c r="W13" s="1495">
        <v>3</v>
      </c>
      <c r="X13" s="1494">
        <v>2</v>
      </c>
      <c r="Y13" s="1493">
        <v>2</v>
      </c>
      <c r="Z13" s="1493">
        <v>3</v>
      </c>
      <c r="AA13" s="1493">
        <v>1</v>
      </c>
      <c r="AB13" s="1493"/>
      <c r="AC13" s="1493">
        <v>3</v>
      </c>
      <c r="AD13" s="1493">
        <v>3</v>
      </c>
      <c r="AE13" s="1492">
        <f>IF(B13="","",COUNTIF(C13:P13,"&gt;0"))</f>
        <v>13</v>
      </c>
      <c r="AF13" s="1490">
        <f>SUM(Q13:W13)</f>
        <v>19</v>
      </c>
      <c r="AG13" s="1470">
        <f>SUM(CQ13:CW13)</f>
        <v>21</v>
      </c>
      <c r="AH13" s="1469">
        <f ca="1">IF(AG13=0,"X",IF(AG13&lt;LARGE(AG$2:AG$70,1)/3,"NS",RAND()*0.00001+AF13/AG13))</f>
        <v>0.90477095669309004</v>
      </c>
      <c r="AI13" s="1490">
        <f>SUM(X13:AD13)</f>
        <v>14</v>
      </c>
      <c r="AJ13" s="1490">
        <f>SUM(CX13:DD13)</f>
        <v>18</v>
      </c>
      <c r="AK13" s="1491">
        <f ca="1">IF(AJ13=0,"X",IF(AJ13&lt;LARGE(AJ$2:AJ$70,1)/4,"NS",RAND()*0.00001+AI13/AJ13))</f>
        <v>0.7777876568038401</v>
      </c>
      <c r="AL13" s="1490">
        <f>SUM(Q13:AD13)</f>
        <v>33</v>
      </c>
      <c r="AM13" s="1490">
        <f>SUM(CQ13:DD13)</f>
        <v>39</v>
      </c>
      <c r="AN13" s="1469">
        <f ca="1">IF(AM13=0,"X",IF(AM13&lt;LARGE(AM$2:AM$70,1)/3,"NS",RAND()*0.00001+AL13/AM13))</f>
        <v>0.84616245575401683</v>
      </c>
      <c r="AO13" s="1437">
        <f ca="1">IF(B13="",10,B13+RAND()*0.01)</f>
        <v>3.0040490736190537</v>
      </c>
      <c r="AP13" s="1437">
        <f ca="1">IF(AND(C13="",J13=""),"e",IF(J13="",IF($BD$1&lt;=7,C13+RAND()*0.01,"e"),J13+RAND()*0.01))</f>
        <v>3.0043070361233406</v>
      </c>
      <c r="AQ13" s="1437">
        <f ca="1">IF(AND(D13="",K13=""),"e",IF(K13="",IF($BD$1&lt;=7,D13+RAND()*0.01,"e"),K13+RAND()*0.01))</f>
        <v>3.0050274782639614</v>
      </c>
      <c r="AR13" s="1437">
        <f ca="1">IF(AND(E13="",L13=""),"e",IF(L13="",IF($BD$1&lt;=7,E13+RAND()*0.01,"e"),L13+RAND()*0.01))</f>
        <v>3.0094332896964477</v>
      </c>
      <c r="AS13" s="1437">
        <f ca="1">IF(AND(F13="",M13=""),"e",IF(M13="",IF($BD$1&lt;=7,F13+RAND()*0.01,"e"),M13+RAND()*0.01))</f>
        <v>3.0024956860379697</v>
      </c>
      <c r="AT13" s="1437" t="str">
        <f ca="1">IF(AND(G13="",N13=""),"e",IF(N13="",IF($BD$1&lt;=7,G13+RAND()*0.01,"e"),N13+RAND()*0.01))</f>
        <v>e</v>
      </c>
      <c r="AU13" s="1437">
        <f ca="1">IF(AND(H13="",O13=""),"e",IF(O13="",IF($BD$1&lt;=7,H13+RAND()*0.01,"e"),O13+RAND()*0.01))</f>
        <v>2.0023715076435273</v>
      </c>
      <c r="AV13" s="1437">
        <f ca="1">IF(AND(I13="",P13=""),"e",IF(P13="",IF($BD$1&lt;=7,I13+RAND()*0.01,"e"),P13+RAND()*0.01))</f>
        <v>2.0004953492923656</v>
      </c>
      <c r="AW13" s="1437"/>
      <c r="AX13" s="1436" t="str">
        <f>A13</f>
        <v>Hilton Franck</v>
      </c>
      <c r="AY13" s="1580" t="str">
        <f>IF(OR($H$2&gt;0,$H$3&gt;0,$H$4&gt;0,$H$5&gt;0,$H$6&gt;0,$H$7&gt;0,$H$8&gt;0,$H$2&gt;0),"",IF(COUNTIF(C13:H13,"")&gt;=5,"",IF(COUNTIF(C13:H13,SMALL(C13:H13,1))&gt;=2,SMALL(C13:H13,1),SMALL(C13:H13,2))))</f>
        <v/>
      </c>
      <c r="AZ13" s="1581">
        <f>IF(COUNTIF(J13:O13,"")&gt;=5,"",IF(COUNTIF(J13:O13,SMALL(J13:O13,1))&gt;=2,SMALL(J13:O13,1),SMALL(J13:O13,2)))</f>
        <v>3</v>
      </c>
      <c r="BA13" s="1401"/>
      <c r="BB13" s="1486" t="str">
        <f>[10]clt!BN20</f>
        <v>Clt</v>
      </c>
      <c r="BC13" s="1485" t="str">
        <f>[10]clt!BO20</f>
        <v>MTT 3:  D2     E</v>
      </c>
      <c r="BD13" s="1484" t="str">
        <f>[10]clt!BP20</f>
        <v>Pts</v>
      </c>
      <c r="BE13" s="1484" t="str">
        <f>[10]clt!BQ20</f>
        <v>Joués</v>
      </c>
      <c r="BF13" s="1483" t="str">
        <f>[10]clt!BR20</f>
        <v>vic</v>
      </c>
      <c r="BG13" s="1483" t="str">
        <f>IF($BD$1&lt;=7,[10]clt!Y20,[10]clt!BS20)</f>
        <v>nul</v>
      </c>
      <c r="BH13" s="1483" t="str">
        <f>IF($BD$1&lt;=7,[10]clt!Z20,[10]clt!BT20)</f>
        <v>déf</v>
      </c>
      <c r="BI13" s="1483" t="str">
        <f>[10]clt!BU20</f>
        <v>PG</v>
      </c>
      <c r="BJ13" s="1483" t="str">
        <f>[10]clt!BV20</f>
        <v>PP</v>
      </c>
      <c r="BK13" s="1461"/>
      <c r="BL13" s="1526" t="str">
        <f>[10]clt!BN29</f>
        <v>Clt</v>
      </c>
      <c r="BM13" s="1528" t="str">
        <f>[10]clt!BO29</f>
        <v>MTT 4:  D2     D</v>
      </c>
      <c r="BN13" s="1527" t="str">
        <f>[10]clt!BP29</f>
        <v>Pts</v>
      </c>
      <c r="BO13" s="1527" t="str">
        <f>[10]clt!BQ29</f>
        <v>Joués</v>
      </c>
      <c r="BP13" s="1526" t="str">
        <f>[10]clt!BR29</f>
        <v>vic</v>
      </c>
      <c r="BQ13" s="1526" t="str">
        <f>[10]clt!BS29</f>
        <v>nul</v>
      </c>
      <c r="BR13" s="1526" t="str">
        <f>[10]clt!BT29</f>
        <v>déf</v>
      </c>
      <c r="BS13" s="1526" t="str">
        <f>[10]clt!BU29</f>
        <v>PG</v>
      </c>
      <c r="BT13" s="1526" t="str">
        <f>[10]clt!BV29</f>
        <v>PP</v>
      </c>
      <c r="BV13" s="1524"/>
      <c r="BW13" s="1401" t="str">
        <f>IF(BW14="","",[10]équipes!$B$19)</f>
        <v/>
      </c>
      <c r="BX13" s="1401"/>
      <c r="BY13" s="561">
        <f ca="1">IF($BD$1&lt;=7,COUNTIF($C13:$I13,"1")+RAND()*0.0001,COUNTIF($J13:$P13,"1")+RAND()*0.0001)</f>
        <v>5.4070888191314017E-5</v>
      </c>
      <c r="BZ13" s="561" t="str">
        <f ca="1">IF(BY13&lt;1,"",AX13)</f>
        <v/>
      </c>
      <c r="CA13" s="561">
        <f ca="1">IF($BD$1&lt;=7,COUNTIF($C13:$I13,"2")+RAND()*0.0001,COUNTIF($J13:$P13,"2")+RAND()*0.0001)</f>
        <v>2.0000228754693778</v>
      </c>
      <c r="CB13" s="561" t="str">
        <f ca="1">IF(CA13&lt;1,"",AX13)</f>
        <v>Hilton Franck</v>
      </c>
      <c r="CC13" s="561">
        <f ca="1">IF($BD$1&lt;=7,COUNTIF($C13:$I13,"3")+RAND()*0.0001,COUNTIF($J13:$P13,"3")+RAND()*0.0001)</f>
        <v>4.0000772677151852</v>
      </c>
      <c r="CD13" s="561" t="str">
        <f ca="1">IF(CC13&lt;1,"",AX13)</f>
        <v>Hilton Franck</v>
      </c>
      <c r="CE13" s="561">
        <f ca="1">IF($BD$1&lt;=7,COUNTIF($C13:$I13,"4")+RAND()*0.0001,COUNTIF($J13:$P13,"4")+RAND()*0.0001)</f>
        <v>6.7804328597189148E-5</v>
      </c>
      <c r="CF13" s="561" t="str">
        <f ca="1">IF(CE13&lt;1,"",AX13)</f>
        <v/>
      </c>
      <c r="CG13" s="561">
        <f ca="1">IF($BD$1&lt;=7,COUNTIF($C13:$I13,"5")+RAND()*0.0001,COUNTIF($J13:$P13,"5")+RAND()*0.0001)</f>
        <v>1.6134687868073172E-5</v>
      </c>
      <c r="CH13" s="561" t="str">
        <f ca="1">IF(CG13&lt;1,"",AX13)</f>
        <v/>
      </c>
      <c r="CI13" s="561">
        <f ca="1">IF($BD$1&lt;=7,COUNTIF($C13:$I13,"6")+RAND()*0.0001,COUNTIF($J13:$P13,"6")+RAND()*0.0001)</f>
        <v>6.2245753652630278E-5</v>
      </c>
      <c r="CJ13" s="561" t="str">
        <f ca="1">IF(CI13&lt;1,"",AX13)</f>
        <v/>
      </c>
      <c r="CK13" s="561">
        <f ca="1">IF($BD$1&lt;=7,COUNTIF($C13:$I13,"7")+RAND()*0.0001,COUNTIF($J13:$P13,"7")+RAND()*0.0001)</f>
        <v>1.3027714068451447E-5</v>
      </c>
      <c r="CL13" s="561" t="str">
        <f ca="1">IF(CK13&lt;1,"",AX13)</f>
        <v/>
      </c>
      <c r="CM13" s="561">
        <f ca="1">IF($BD$1&lt;=7,COUNTIF($C13:$I13,"8")+RAND()*0.0001,COUNTIF($J13:$P13,"8")+RAND()*0.0001)</f>
        <v>5.7378015713963197E-5</v>
      </c>
      <c r="CN13" s="561" t="str">
        <f ca="1">IF(CM13&lt;1,"",AX13)</f>
        <v/>
      </c>
      <c r="CO13" s="1525"/>
      <c r="CP13" s="1401">
        <f ca="1">AE13+RAND()*0.01</f>
        <v>13.002304710454618</v>
      </c>
      <c r="CQ13" s="1433">
        <f>VLOOKUP(C13,$CO$2:$DF$11,18,FALSE)</f>
        <v>3</v>
      </c>
      <c r="CR13" s="1433">
        <f>VLOOKUP(D13,$CO$2:$DF$11,18,FALSE)</f>
        <v>3</v>
      </c>
      <c r="CS13" s="1433">
        <f>VLOOKUP(E13,$CO$2:$DF$11,18,FALSE)</f>
        <v>3</v>
      </c>
      <c r="CT13" s="1433">
        <f>VLOOKUP(F13,$CO$2:$DF$11,18,FALSE)</f>
        <v>3</v>
      </c>
      <c r="CU13" s="1433">
        <f>VLOOKUP(G13,$CO$2:$DF$11,18,FALSE)</f>
        <v>3</v>
      </c>
      <c r="CV13" s="1433">
        <f>VLOOKUP(H13,$CO$2:$DF$11,18,FALSE)</f>
        <v>3</v>
      </c>
      <c r="CW13" s="1433">
        <f>VLOOKUP(I13,$CO$2:$DF$11,18,FALSE)</f>
        <v>3</v>
      </c>
      <c r="CX13" s="1433">
        <f>VLOOKUP(J13,$CO$2:$DF$11,18,FALSE)</f>
        <v>3</v>
      </c>
      <c r="CY13" s="1433">
        <f>VLOOKUP(K13,$CO$2:$DF$11,18,FALSE)</f>
        <v>3</v>
      </c>
      <c r="CZ13" s="1433">
        <f>VLOOKUP(L13,$CO$2:$DF$11,18,FALSE)</f>
        <v>3</v>
      </c>
      <c r="DA13" s="1433">
        <f>VLOOKUP(M13,$CO$2:$DF$11,18,FALSE)</f>
        <v>3</v>
      </c>
      <c r="DB13" s="1433">
        <f>VLOOKUP(N13,$CO$2:$DF$11,18,FALSE)</f>
        <v>0</v>
      </c>
      <c r="DC13" s="1433">
        <f>VLOOKUP(O13,$CO$2:$DF$11,18,FALSE)</f>
        <v>3</v>
      </c>
      <c r="DD13" s="1433">
        <f>VLOOKUP(P13,$CO$2:$DF$11,18,FALSE)</f>
        <v>3</v>
      </c>
      <c r="DE13" s="1432">
        <f ca="1">IF(AND(DI13=0,A13=""),AL13,IF(DI13=0,AL13+VLOOKUP(AX13,[10]Critérium!$AC$49:$DE$100,81,FALSE),AL13+VLOOKUP(AX13,[10]Critérium!$B$6:$T$22,19,FALSE)+VLOOKUP(AX13,[10]Critérium!$AC$49:$DE$100,81,FALSE)))</f>
        <v>57</v>
      </c>
      <c r="DF13" s="1521"/>
      <c r="DG13" s="1429">
        <f ca="1">IF(AND(DI13=0,A13=""),AM13,IF(DI13=0,AM13+VLOOKUP(AX13,[10]Critérium!$AC$49:$DH$100,84,FALSE),AM13+VLOOKUP(AX13,[10]Critérium!$B$6:$V$22,21,FALSE)+VLOOKUP(AX13,[10]Critérium!$AC$49:$DH$100,84,FALSE)))</f>
        <v>74</v>
      </c>
      <c r="DH13" s="1430">
        <f ca="1">IF(DG13=0,0,(DE13/DG13+RAND()*0.0001))</f>
        <v>0.77034248334169053</v>
      </c>
      <c r="DI13" s="1429" t="str">
        <f>VLOOKUP(AX13,[10]liste!AN:AR,5,FALSE)</f>
        <v>x</v>
      </c>
      <c r="DJ13" s="1427">
        <f ca="1">DG13+RAND()</f>
        <v>74.060966051653281</v>
      </c>
      <c r="DK13" s="1427" t="str">
        <f>A13</f>
        <v>Hilton Franck</v>
      </c>
      <c r="DL13" s="1520"/>
      <c r="DM13" s="1428">
        <f>HLOOKUP($DM$1,$C$1:$P$70,13,FALSE)</f>
        <v>2</v>
      </c>
      <c r="DN13" s="1428">
        <f>HLOOKUP($DN$1,$Q$1:$AD$70,13,FALSE)</f>
        <v>3</v>
      </c>
      <c r="DO13" s="1519"/>
      <c r="DP13" s="1519"/>
      <c r="DQ13" s="1519"/>
      <c r="DR13" s="1400">
        <f>IF(SUM(C13:P13)=0,0,(AE13*10/SUM(C13:P13)/2)*AE13/21)</f>
        <v>1.3412698412698412</v>
      </c>
      <c r="DT13" s="1518"/>
      <c r="DU13" s="1518"/>
      <c r="DV13" s="1518"/>
      <c r="DW13" s="1518"/>
      <c r="DX13" s="1518"/>
      <c r="DY13" s="1518"/>
      <c r="DZ13" s="1518"/>
      <c r="EA13" s="1518"/>
    </row>
    <row r="14" spans="1:131" s="1517" customFormat="1" ht="21.95" customHeight="1">
      <c r="A14" s="1477" t="str">
        <f>[10]points!B40</f>
        <v>Mierzwa Julien</v>
      </c>
      <c r="B14" s="1476">
        <v>4</v>
      </c>
      <c r="C14" s="1428"/>
      <c r="D14" s="1428">
        <v>4</v>
      </c>
      <c r="E14" s="1428">
        <v>5</v>
      </c>
      <c r="F14" s="1428">
        <v>1</v>
      </c>
      <c r="G14" s="1428"/>
      <c r="H14" s="1428">
        <v>4</v>
      </c>
      <c r="I14" s="1475">
        <v>4</v>
      </c>
      <c r="J14" s="1428">
        <v>4</v>
      </c>
      <c r="K14" s="1428"/>
      <c r="L14" s="1428">
        <v>4</v>
      </c>
      <c r="M14" s="1428">
        <v>4</v>
      </c>
      <c r="N14" s="1428">
        <v>4</v>
      </c>
      <c r="O14" s="1428">
        <v>4</v>
      </c>
      <c r="P14" s="1474"/>
      <c r="Q14" s="1472"/>
      <c r="R14" s="1471">
        <v>3</v>
      </c>
      <c r="S14" s="1471">
        <v>0</v>
      </c>
      <c r="T14" s="1471">
        <v>1</v>
      </c>
      <c r="U14" s="1471"/>
      <c r="V14" s="1471">
        <v>0</v>
      </c>
      <c r="W14" s="1473">
        <v>0</v>
      </c>
      <c r="X14" s="1472">
        <v>2</v>
      </c>
      <c r="Y14" s="1471"/>
      <c r="Z14" s="1471">
        <v>3</v>
      </c>
      <c r="AA14" s="1471">
        <v>1</v>
      </c>
      <c r="AB14" s="1471">
        <v>1</v>
      </c>
      <c r="AC14" s="1471">
        <v>0</v>
      </c>
      <c r="AD14" s="1471"/>
      <c r="AE14" s="1458">
        <f>IF(B14="","",COUNTIF(C14:P14,"&gt;0"))</f>
        <v>10</v>
      </c>
      <c r="AF14" s="1470">
        <f>SUM(Q14:W14)</f>
        <v>4</v>
      </c>
      <c r="AG14" s="1470">
        <f>SUM(CQ14:CW14)</f>
        <v>15</v>
      </c>
      <c r="AH14" s="1469">
        <f ca="1">IF(AG14=0,"X",IF(AG14&lt;LARGE(AG$2:AG$70,1)/3,"NS",RAND()*0.00001+AF14/AG14))</f>
        <v>0.26666769290109421</v>
      </c>
      <c r="AI14" s="1470">
        <f>SUM(X14:AD14)</f>
        <v>7</v>
      </c>
      <c r="AJ14" s="1470">
        <f>SUM(CX14:DD14)</f>
        <v>15</v>
      </c>
      <c r="AK14" s="1469">
        <f ca="1">IF(AJ14=0,"X",IF(AJ14&lt;LARGE(AJ$2:AJ$70,1)/4,"NS",RAND()*0.00001+AI14/AJ14))</f>
        <v>0.46667375217372581</v>
      </c>
      <c r="AL14" s="1470">
        <f>SUM(Q14:AD14)</f>
        <v>11</v>
      </c>
      <c r="AM14" s="1470">
        <f>SUM(CQ14:DD14)</f>
        <v>30</v>
      </c>
      <c r="AN14" s="1469">
        <f ca="1">IF(AM14=0,"X",IF(AM14&lt;LARGE(AM$2:AM$70,1)/3,"NS",RAND()*0.00001+AL14/AM14))</f>
        <v>0.36666929375750734</v>
      </c>
      <c r="AO14" s="1437">
        <f ca="1">IF(B14="",10,B14+RAND()*0.01)</f>
        <v>4.0028737359405628</v>
      </c>
      <c r="AP14" s="1437">
        <f ca="1">IF(AND(C14="",J14=""),"e",IF(J14="",IF($BD$1&lt;=7,C14+RAND()*0.01,"e"),J14+RAND()*0.01))</f>
        <v>4.0002630635284815</v>
      </c>
      <c r="AQ14" s="1437" t="str">
        <f ca="1">IF(AND(D14="",K14=""),"e",IF(K14="",IF($BD$1&lt;=7,D14+RAND()*0.01,"e"),K14+RAND()*0.01))</f>
        <v>e</v>
      </c>
      <c r="AR14" s="1437">
        <f ca="1">IF(AND(E14="",L14=""),"e",IF(L14="",IF($BD$1&lt;=7,E14+RAND()*0.01,"e"),L14+RAND()*0.01))</f>
        <v>4.0058411763135409</v>
      </c>
      <c r="AS14" s="1437">
        <f ca="1">IF(AND(F14="",M14=""),"e",IF(M14="",IF($BD$1&lt;=7,F14+RAND()*0.01,"e"),M14+RAND()*0.01))</f>
        <v>4.0026784345808526</v>
      </c>
      <c r="AT14" s="1437">
        <f ca="1">IF(AND(G14="",N14=""),"e",IF(N14="",IF($BD$1&lt;=7,G14+RAND()*0.01,"e"),N14+RAND()*0.01))</f>
        <v>4.0033603032519709</v>
      </c>
      <c r="AU14" s="1437">
        <f ca="1">IF(AND(H14="",O14=""),"e",IF(O14="",IF($BD$1&lt;=7,H14+RAND()*0.01,"e"),O14+RAND()*0.01))</f>
        <v>4.003526470867615</v>
      </c>
      <c r="AV14" s="1437" t="str">
        <f ca="1">IF(AND(I14="",P14=""),"e",IF(P14="",IF($BD$1&lt;=7,I14+RAND()*0.01,"e"),P14+RAND()*0.01))</f>
        <v>e</v>
      </c>
      <c r="AW14" s="1437"/>
      <c r="AX14" s="1436" t="str">
        <f>A14</f>
        <v>Mierzwa Julien</v>
      </c>
      <c r="AY14" s="1580" t="str">
        <f>IF(OR($H$2&gt;0,$H$3&gt;0,$H$4&gt;0,$H$5&gt;0,$H$6&gt;0,$H$7&gt;0,$H$8&gt;0,$H$2&gt;0),"",IF(COUNTIF(C14:H14,"")&gt;=5,"",IF(COUNTIF(C14:H14,SMALL(C14:H14,1))&gt;=2,SMALL(C14:H14,1),SMALL(C14:H14,2))))</f>
        <v/>
      </c>
      <c r="AZ14" s="1581">
        <f>IF(COUNTIF(J14:O14,"")&gt;=5,"",IF(COUNTIF(J14:O14,SMALL(J14:O14,1))&gt;=2,SMALL(J14:O14,1),SMALL(J14:O14,2)))</f>
        <v>4</v>
      </c>
      <c r="BA14" s="1401"/>
      <c r="BB14" s="1482">
        <v>1</v>
      </c>
      <c r="BC14" s="1478" t="str">
        <f ca="1">IF($BD$1&lt;=7,[10]clt!U21,[10]clt!BO21)</f>
        <v>BO QUESTEMBERT 1</v>
      </c>
      <c r="BD14" s="1481">
        <f ca="1">IF($BD$1&lt;=7,[10]clt!V21,[10]clt!BP21)</f>
        <v>21.00003237112195</v>
      </c>
      <c r="BE14" s="1480">
        <f ca="1">IF($BD$1&lt;=7,[10]clt!W21,[10]clt!BQ21)</f>
        <v>7</v>
      </c>
      <c r="BF14" s="1480">
        <f ca="1">IF($BD$1&lt;=7,[10]clt!X21,[10]clt!BR21)</f>
        <v>7</v>
      </c>
      <c r="BG14" s="1480">
        <f ca="1">IF($BD$1&lt;=7,[10]clt!Y21,[10]clt!BS21)</f>
        <v>0</v>
      </c>
      <c r="BH14" s="1480">
        <f ca="1">IF($BD$1&lt;=7,[10]clt!Z21,[10]clt!BT21)</f>
        <v>0</v>
      </c>
      <c r="BI14" s="1480">
        <f ca="1">IF($BD$1&lt;=7,[10]clt!AA21,[10]clt!BU21)</f>
        <v>79</v>
      </c>
      <c r="BJ14" s="1480">
        <f ca="1">IF($BD$1&lt;=7,[10]clt!AB21,[10]clt!BV21)</f>
        <v>19</v>
      </c>
      <c r="BK14" s="1461"/>
      <c r="BL14" s="1511">
        <v>1</v>
      </c>
      <c r="BM14" s="1510" t="str">
        <f ca="1">IF($BD$1&lt;=7,[10]clt!U30,[10]clt!BO30)</f>
        <v>US ST-ABRAHAM 2</v>
      </c>
      <c r="BN14" s="1509">
        <f ca="1">IF($BD$1&lt;=7,[10]clt!V30,[10]clt!BP30)</f>
        <v>17.000016398985451</v>
      </c>
      <c r="BO14" s="1508">
        <f ca="1">IF($BD$1&lt;=7,[10]clt!W30,[10]clt!BQ30)</f>
        <v>7</v>
      </c>
      <c r="BP14" s="1508">
        <f ca="1">IF($BD$1&lt;=7,[10]clt!X30,[10]clt!BR30)</f>
        <v>5</v>
      </c>
      <c r="BQ14" s="1508">
        <f ca="1">IF($BD$1&lt;=7,[10]clt!Y30,[10]clt!BS30)</f>
        <v>0</v>
      </c>
      <c r="BR14" s="1508">
        <f ca="1">IF($BD$1&lt;=7,[10]clt!Z30,[10]clt!BT30)</f>
        <v>2</v>
      </c>
      <c r="BS14" s="1508">
        <f ca="1">IF($BD$1&lt;=7,[10]clt!AA30,[10]clt!BU30)</f>
        <v>54</v>
      </c>
      <c r="BT14" s="1508">
        <f ca="1">IF($BD$1&lt;=7,[10]clt!AB30,[10]clt!BV30)</f>
        <v>44</v>
      </c>
      <c r="BU14" s="1507"/>
      <c r="BV14" s="1524"/>
      <c r="BW14" s="1523"/>
      <c r="BX14" s="1522"/>
      <c r="BY14" s="561">
        <f ca="1">IF($BD$1&lt;=7,COUNTIF($C14:$I14,"1")+RAND()*0.0001,COUNTIF($J14:$P14,"1")+RAND()*0.0001)</f>
        <v>1.2003055560104193E-5</v>
      </c>
      <c r="BZ14" s="561" t="str">
        <f ca="1">IF(BY14&lt;1,"",AX14)</f>
        <v/>
      </c>
      <c r="CA14" s="561">
        <f ca="1">IF($BD$1&lt;=7,COUNTIF($C14:$I14,"2")+RAND()*0.0001,COUNTIF($J14:$P14,"2")+RAND()*0.0001)</f>
        <v>2.7384035984159873E-5</v>
      </c>
      <c r="CB14" s="561" t="str">
        <f ca="1">IF(CA14&lt;1,"",AX14)</f>
        <v/>
      </c>
      <c r="CC14" s="561">
        <f ca="1">IF($BD$1&lt;=7,COUNTIF($C14:$I14,"3")+RAND()*0.0001,COUNTIF($J14:$P14,"3")+RAND()*0.0001)</f>
        <v>3.3814206177840993E-5</v>
      </c>
      <c r="CD14" s="561" t="str">
        <f ca="1">IF(CC14&lt;1,"",AX14)</f>
        <v/>
      </c>
      <c r="CE14" s="561">
        <f ca="1">IF($BD$1&lt;=7,COUNTIF($C14:$I14,"4")+RAND()*0.0001,COUNTIF($J14:$P14,"4")+RAND()*0.0001)</f>
        <v>5.0000591297709862</v>
      </c>
      <c r="CF14" s="561" t="str">
        <f ca="1">IF(CE14&lt;1,"",AX14)</f>
        <v>Mierzwa Julien</v>
      </c>
      <c r="CG14" s="561">
        <f ca="1">IF($BD$1&lt;=7,COUNTIF($C14:$I14,"5")+RAND()*0.0001,COUNTIF($J14:$P14,"5")+RAND()*0.0001)</f>
        <v>1.0961390927602544E-5</v>
      </c>
      <c r="CH14" s="561" t="str">
        <f ca="1">IF(CG14&lt;1,"",AX14)</f>
        <v/>
      </c>
      <c r="CI14" s="561">
        <f ca="1">IF($BD$1&lt;=7,COUNTIF($C14:$I14,"6")+RAND()*0.0001,COUNTIF($J14:$P14,"6")+RAND()*0.0001)</f>
        <v>1.230035835862775E-6</v>
      </c>
      <c r="CJ14" s="561" t="str">
        <f ca="1">IF(CI14&lt;1,"",AX14)</f>
        <v/>
      </c>
      <c r="CK14" s="561">
        <f ca="1">IF($BD$1&lt;=7,COUNTIF($C14:$I14,"7")+RAND()*0.0001,COUNTIF($J14:$P14,"7")+RAND()*0.0001)</f>
        <v>3.0378223753056701E-5</v>
      </c>
      <c r="CL14" s="561" t="str">
        <f ca="1">IF(CK14&lt;1,"",AX14)</f>
        <v/>
      </c>
      <c r="CM14" s="561">
        <f ca="1">IF($BD$1&lt;=7,COUNTIF($C14:$I14,"8")+RAND()*0.0001,COUNTIF($J14:$P14,"8")+RAND()*0.0001)</f>
        <v>6.7104304632642909E-5</v>
      </c>
      <c r="CN14" s="561" t="str">
        <f ca="1">IF(CM14&lt;1,"",AX14)</f>
        <v/>
      </c>
      <c r="CO14" s="1514"/>
      <c r="CP14" s="1401">
        <f ca="1">AE14+RAND()*0.01</f>
        <v>10.009052457788302</v>
      </c>
      <c r="CQ14" s="1433">
        <f>VLOOKUP(C14,$CO$2:$DF$11,18,FALSE)</f>
        <v>0</v>
      </c>
      <c r="CR14" s="1433">
        <f>VLOOKUP(D14,$CO$2:$DF$11,18,FALSE)</f>
        <v>3</v>
      </c>
      <c r="CS14" s="1433">
        <f>VLOOKUP(E14,$CO$2:$DF$11,18,FALSE)</f>
        <v>3</v>
      </c>
      <c r="CT14" s="1433">
        <f>VLOOKUP(F14,$CO$2:$DF$11,18,FALSE)</f>
        <v>3</v>
      </c>
      <c r="CU14" s="1433">
        <f>VLOOKUP(G14,$CO$2:$DF$11,18,FALSE)</f>
        <v>0</v>
      </c>
      <c r="CV14" s="1433">
        <f>VLOOKUP(H14,$CO$2:$DF$11,18,FALSE)</f>
        <v>3</v>
      </c>
      <c r="CW14" s="1433">
        <f>VLOOKUP(I14,$CO$2:$DF$11,18,FALSE)</f>
        <v>3</v>
      </c>
      <c r="CX14" s="1433">
        <f>VLOOKUP(J14,$CO$2:$DF$11,18,FALSE)</f>
        <v>3</v>
      </c>
      <c r="CY14" s="1433">
        <f>VLOOKUP(K14,$CO$2:$DF$11,18,FALSE)</f>
        <v>0</v>
      </c>
      <c r="CZ14" s="1433">
        <f>VLOOKUP(L14,$CO$2:$DF$11,18,FALSE)</f>
        <v>3</v>
      </c>
      <c r="DA14" s="1433">
        <f>VLOOKUP(M14,$CO$2:$DF$11,18,FALSE)</f>
        <v>3</v>
      </c>
      <c r="DB14" s="1433">
        <f>VLOOKUP(N14,$CO$2:$DF$11,18,FALSE)</f>
        <v>3</v>
      </c>
      <c r="DC14" s="1433">
        <f>VLOOKUP(O14,$CO$2:$DF$11,18,FALSE)</f>
        <v>3</v>
      </c>
      <c r="DD14" s="1433">
        <f>VLOOKUP(P14,$CO$2:$DF$11,18,FALSE)</f>
        <v>0</v>
      </c>
      <c r="DE14" s="1432">
        <f ca="1">IF(AND(DI14=0,A14=""),AL14,IF(DI14=0,AL14+VLOOKUP(AX14,[10]Critérium!$AC$49:$DE$100,81,FALSE),AL14+VLOOKUP(AX14,[10]Critérium!$B$6:$T$22,19,FALSE)+VLOOKUP(AX14,[10]Critérium!$AC$49:$DE$100,81,FALSE)))</f>
        <v>11</v>
      </c>
      <c r="DF14" s="1521"/>
      <c r="DG14" s="1429">
        <f ca="1">IF(AND(DI14=0,A14=""),AM14,IF(DI14=0,AM14+VLOOKUP(AX14,[10]Critérium!$AC$49:$DH$100,84,FALSE),AM14+VLOOKUP(AX14,[10]Critérium!$B$6:$V$22,21,FALSE)+VLOOKUP(AX14,[10]Critérium!$AC$49:$DH$100,84,FALSE)))</f>
        <v>30</v>
      </c>
      <c r="DH14" s="1430">
        <f ca="1">IF(DG14=0,0,(DE14/DG14+RAND()*0.0001))</f>
        <v>0.366734535846928</v>
      </c>
      <c r="DI14" s="1429">
        <f>VLOOKUP(AX14,[10]liste!AN:AR,5,FALSE)</f>
        <v>0</v>
      </c>
      <c r="DJ14" s="1427">
        <f ca="1">DG14+RAND()</f>
        <v>30.236900315127528</v>
      </c>
      <c r="DK14" s="1427" t="str">
        <f>A14</f>
        <v>Mierzwa Julien</v>
      </c>
      <c r="DL14" s="1520"/>
      <c r="DM14" s="1428">
        <f>HLOOKUP($DM$1,$C$1:$P$70,14,FALSE)</f>
        <v>0</v>
      </c>
      <c r="DN14" s="1428">
        <f>HLOOKUP($DN$1,$Q$1:$AD$70,14,FALSE)</f>
        <v>0</v>
      </c>
      <c r="DO14" s="1519"/>
      <c r="DP14" s="1519"/>
      <c r="DQ14" s="1519"/>
      <c r="DR14" s="1400">
        <f>IF(SUM(C14:P14)=0,0,(AE14*10/SUM(C14:P14)/2)*AE14/21)</f>
        <v>0.62656641604010033</v>
      </c>
      <c r="DT14" s="1518"/>
      <c r="DU14" s="1518"/>
      <c r="DV14" s="1518"/>
      <c r="DW14" s="1518"/>
      <c r="DX14" s="1518"/>
      <c r="DY14" s="1518"/>
      <c r="DZ14" s="1518"/>
      <c r="EA14" s="1518"/>
    </row>
    <row r="15" spans="1:131" ht="21.95" customHeight="1">
      <c r="A15" s="1477" t="str">
        <f>[10]points!B36</f>
        <v>Rochefort Reginald</v>
      </c>
      <c r="B15" s="1476">
        <v>4</v>
      </c>
      <c r="C15" s="1428">
        <v>4</v>
      </c>
      <c r="D15" s="1428">
        <v>4</v>
      </c>
      <c r="E15" s="1428">
        <v>4</v>
      </c>
      <c r="F15" s="1428">
        <v>4</v>
      </c>
      <c r="G15" s="1428">
        <v>4</v>
      </c>
      <c r="H15" s="1428">
        <v>4</v>
      </c>
      <c r="I15" s="1475"/>
      <c r="J15" s="1428"/>
      <c r="K15" s="1428">
        <v>4</v>
      </c>
      <c r="L15" s="1428">
        <v>4</v>
      </c>
      <c r="M15" s="1428">
        <v>4</v>
      </c>
      <c r="N15" s="1428">
        <v>4</v>
      </c>
      <c r="O15" s="1428">
        <v>4</v>
      </c>
      <c r="P15" s="1474">
        <v>4</v>
      </c>
      <c r="Q15" s="1472">
        <v>1</v>
      </c>
      <c r="R15" s="1471">
        <v>2</v>
      </c>
      <c r="S15" s="1471">
        <v>0</v>
      </c>
      <c r="T15" s="1471">
        <v>0</v>
      </c>
      <c r="U15" s="1471">
        <v>1</v>
      </c>
      <c r="V15" s="1471">
        <v>0</v>
      </c>
      <c r="W15" s="1473"/>
      <c r="X15" s="1472"/>
      <c r="Y15" s="1471">
        <v>1</v>
      </c>
      <c r="Z15" s="1471">
        <v>3</v>
      </c>
      <c r="AA15" s="1471">
        <v>0</v>
      </c>
      <c r="AB15" s="1471">
        <v>2</v>
      </c>
      <c r="AC15" s="1471">
        <v>2</v>
      </c>
      <c r="AD15" s="1471">
        <v>2</v>
      </c>
      <c r="AE15" s="1458">
        <f>IF(B15="","",COUNTIF(C15:P15,"&gt;0"))</f>
        <v>12</v>
      </c>
      <c r="AF15" s="1470">
        <f>SUM(Q15:W15)</f>
        <v>4</v>
      </c>
      <c r="AG15" s="1470">
        <f>SUM(CQ15:CW15)</f>
        <v>18</v>
      </c>
      <c r="AH15" s="1469">
        <f ca="1">IF(AG15=0,"X",IF(AG15&lt;LARGE(AG$2:AG$70,1)/3,"NS",RAND()*0.00001+AF15/AG15))</f>
        <v>0.22223048095174044</v>
      </c>
      <c r="AI15" s="1470">
        <f>SUM(X15:AD15)</f>
        <v>10</v>
      </c>
      <c r="AJ15" s="1470">
        <f>SUM(CX15:DD15)</f>
        <v>18</v>
      </c>
      <c r="AK15" s="1469">
        <f ca="1">IF(AJ15=0,"X",IF(AJ15&lt;LARGE(AJ$2:AJ$70,1)/4,"NS",RAND()*0.00001+AI15/AJ15))</f>
        <v>0.55556353556449911</v>
      </c>
      <c r="AL15" s="1470">
        <f>SUM(Q15:AD15)</f>
        <v>14</v>
      </c>
      <c r="AM15" s="1470">
        <f>SUM(CQ15:DD15)</f>
        <v>36</v>
      </c>
      <c r="AN15" s="1469">
        <f ca="1">IF(AM15=0,"X",IF(AM15&lt;LARGE(AM$2:AM$70,1)/3,"NS",RAND()*0.00001+AL15/AM15))</f>
        <v>0.38889279468892324</v>
      </c>
      <c r="AO15" s="1437">
        <f ca="1">IF(B15="",10,B15+RAND()*0.01)</f>
        <v>4.009976196945539</v>
      </c>
      <c r="AP15" s="1437" t="str">
        <f ca="1">IF(AND(C15="",J15=""),"e",IF(J15="",IF($BD$1&lt;=7,C15+RAND()*0.01,"e"),J15+RAND()*0.01))</f>
        <v>e</v>
      </c>
      <c r="AQ15" s="1437">
        <f ca="1">IF(AND(D15="",K15=""),"e",IF(K15="",IF($BD$1&lt;=7,D15+RAND()*0.01,"e"),K15+RAND()*0.01))</f>
        <v>4.0037192493436331</v>
      </c>
      <c r="AR15" s="1437">
        <f ca="1">IF(AND(E15="",L15=""),"e",IF(L15="",IF($BD$1&lt;=7,E15+RAND()*0.01,"e"),L15+RAND()*0.01))</f>
        <v>4.0080484806047139</v>
      </c>
      <c r="AS15" s="1437">
        <f ca="1">IF(AND(F15="",M15=""),"e",IF(M15="",IF($BD$1&lt;=7,F15+RAND()*0.01,"e"),M15+RAND()*0.01))</f>
        <v>4.0011243978443574</v>
      </c>
      <c r="AT15" s="1437">
        <f ca="1">IF(AND(G15="",N15=""),"e",IF(N15="",IF($BD$1&lt;=7,G15+RAND()*0.01,"e"),N15+RAND()*0.01))</f>
        <v>4.0097587259048151</v>
      </c>
      <c r="AU15" s="1437">
        <f ca="1">IF(AND(H15="",O15=""),"e",IF(O15="",IF($BD$1&lt;=7,H15+RAND()*0.01,"e"),O15+RAND()*0.01))</f>
        <v>4.0050958488854418</v>
      </c>
      <c r="AV15" s="1437">
        <f ca="1">IF(AND(I15="",P15=""),"e",IF(P15="",IF($BD$1&lt;=7,I15+RAND()*0.01,"e"),P15+RAND()*0.01))</f>
        <v>4.0070717085277048</v>
      </c>
      <c r="AW15" s="1437"/>
      <c r="AX15" s="1436" t="str">
        <f>A15</f>
        <v>Rochefort Reginald</v>
      </c>
      <c r="AY15" s="1580" t="str">
        <f>IF(OR($H$2&gt;0,$H$3&gt;0,$H$4&gt;0,$H$5&gt;0,$H$6&gt;0,$H$7&gt;0,$H$8&gt;0,$H$2&gt;0),"",IF(COUNTIF(C15:H15,"")&gt;=5,"",IF(COUNTIF(C15:H15,SMALL(C15:H15,1))&gt;=2,SMALL(C15:H15,1),SMALL(C15:H15,2))))</f>
        <v/>
      </c>
      <c r="AZ15" s="1581">
        <f>IF(COUNTIF(J15:O15,"")&gt;=5,"",IF(COUNTIF(J15:O15,SMALL(J15:O15,1))&gt;=2,SMALL(J15:O15,1),SMALL(J15:O15,2)))</f>
        <v>4</v>
      </c>
      <c r="BA15" s="1401"/>
      <c r="BB15" s="1482">
        <f ca="1">IF(ROUND(BD15,0)=ROUND(BD14,0),"-",2)</f>
        <v>2</v>
      </c>
      <c r="BC15" s="1478" t="str">
        <f ca="1">IF($BD$1&lt;=7,[10]clt!U22,[10]clt!BO22)</f>
        <v>TT PAYS LOCMINE 1</v>
      </c>
      <c r="BD15" s="1481">
        <f ca="1">IF($BD$1&lt;=7,[10]clt!V22,[10]clt!BP22)</f>
        <v>18.000065935395277</v>
      </c>
      <c r="BE15" s="1480">
        <f ca="1">IF($BD$1&lt;=7,[10]clt!W22,[10]clt!BQ22)</f>
        <v>7</v>
      </c>
      <c r="BF15" s="1480">
        <f ca="1">IF($BD$1&lt;=7,[10]clt!X22,[10]clt!BR22)</f>
        <v>5</v>
      </c>
      <c r="BG15" s="1480">
        <f ca="1">IF($BD$1&lt;=7,[10]clt!Y22,[10]clt!BS22)</f>
        <v>1</v>
      </c>
      <c r="BH15" s="1480">
        <f ca="1">IF($BD$1&lt;=7,[10]clt!Z22,[10]clt!BT22)</f>
        <v>1</v>
      </c>
      <c r="BI15" s="1480">
        <f ca="1">IF($BD$1&lt;=7,[10]clt!AA22,[10]clt!BU22)</f>
        <v>65</v>
      </c>
      <c r="BJ15" s="1480">
        <f ca="1">IF($BD$1&lt;=7,[10]clt!AB22,[10]clt!BV22)</f>
        <v>33</v>
      </c>
      <c r="BK15" s="1461"/>
      <c r="BL15" s="1511">
        <f ca="1">IF(ROUND(BN15,0)=ROUND(BN14,0),"-",2)</f>
        <v>2</v>
      </c>
      <c r="BM15" s="1510" t="str">
        <f ca="1">IF($BD$1&lt;=7,[10]clt!U31,[10]clt!BO31)</f>
        <v>L. PLOERMEL 4</v>
      </c>
      <c r="BN15" s="1509">
        <f ca="1">IF($BD$1&lt;=7,[10]clt!V31,[10]clt!BP31)</f>
        <v>15.000058236396544</v>
      </c>
      <c r="BO15" s="1508">
        <f ca="1">IF($BD$1&lt;=7,[10]clt!W31,[10]clt!BQ31)</f>
        <v>7</v>
      </c>
      <c r="BP15" s="1508">
        <f ca="1">IF($BD$1&lt;=7,[10]clt!X31,[10]clt!BR31)</f>
        <v>4</v>
      </c>
      <c r="BQ15" s="1508">
        <f ca="1">IF($BD$1&lt;=7,[10]clt!Y31,[10]clt!BS31)</f>
        <v>0</v>
      </c>
      <c r="BR15" s="1508">
        <f ca="1">IF($BD$1&lt;=7,[10]clt!Z31,[10]clt!BT31)</f>
        <v>3</v>
      </c>
      <c r="BS15" s="1508">
        <f ca="1">IF($BD$1&lt;=7,[10]clt!AA31,[10]clt!BU31)</f>
        <v>53</v>
      </c>
      <c r="BT15" s="1508">
        <f ca="1">IF($BD$1&lt;=7,[10]clt!AB31,[10]clt!BV31)</f>
        <v>45</v>
      </c>
      <c r="BU15" s="1507"/>
      <c r="BV15" s="1516" t="str">
        <f ca="1">'[10]résultats commentaires'!K3</f>
        <v>59 victoires et 10 matchs nuls sur 101 rencontres disputées .(68 %)</v>
      </c>
      <c r="BW15" s="1515"/>
      <c r="BX15" s="1454"/>
      <c r="BY15" s="561">
        <f ca="1">IF($BD$1&lt;=7,COUNTIF($C15:$I15,"1")+RAND()*0.0001,COUNTIF($J15:$P15,"1")+RAND()*0.0001)</f>
        <v>8.3727919503071564E-5</v>
      </c>
      <c r="BZ15" s="561" t="str">
        <f ca="1">IF(BY15&lt;1,"",AX15)</f>
        <v/>
      </c>
      <c r="CA15" s="561">
        <f ca="1">IF($BD$1&lt;=7,COUNTIF($C15:$I15,"2")+RAND()*0.0001,COUNTIF($J15:$P15,"2")+RAND()*0.0001)</f>
        <v>9.1935986954420229E-5</v>
      </c>
      <c r="CB15" s="561" t="str">
        <f ca="1">IF(CA15&lt;1,"",AX15)</f>
        <v/>
      </c>
      <c r="CC15" s="561">
        <f ca="1">IF($BD$1&lt;=7,COUNTIF($C15:$I15,"3")+RAND()*0.0001,COUNTIF($J15:$P15,"3")+RAND()*0.0001)</f>
        <v>1.5734233552704159E-5</v>
      </c>
      <c r="CD15" s="561" t="str">
        <f ca="1">IF(CC15&lt;1,"",AX15)</f>
        <v/>
      </c>
      <c r="CE15" s="561">
        <f ca="1">IF($BD$1&lt;=7,COUNTIF($C15:$I15,"4")+RAND()*0.0001,COUNTIF($J15:$P15,"4")+RAND()*0.0001)</f>
        <v>6.0000306294226977</v>
      </c>
      <c r="CF15" s="561" t="str">
        <f ca="1">IF(CE15&lt;1,"",AX15)</f>
        <v>Rochefort Reginald</v>
      </c>
      <c r="CG15" s="561">
        <f ca="1">IF($BD$1&lt;=7,COUNTIF($C15:$I15,"5")+RAND()*0.0001,COUNTIF($J15:$P15,"5")+RAND()*0.0001)</f>
        <v>3.3392344722122871E-5</v>
      </c>
      <c r="CH15" s="561" t="str">
        <f ca="1">IF(CG15&lt;1,"",AX15)</f>
        <v/>
      </c>
      <c r="CI15" s="561">
        <f ca="1">IF($BD$1&lt;=7,COUNTIF($C15:$I15,"6")+RAND()*0.0001,COUNTIF($J15:$P15,"6")+RAND()*0.0001)</f>
        <v>2.3864007868636295E-5</v>
      </c>
      <c r="CJ15" s="561" t="str">
        <f ca="1">IF(CI15&lt;1,"",AX15)</f>
        <v/>
      </c>
      <c r="CK15" s="561">
        <f ca="1">IF($BD$1&lt;=7,COUNTIF($C15:$I15,"7")+RAND()*0.0001,COUNTIF($J15:$P15,"7")+RAND()*0.0001)</f>
        <v>7.4191713833484315E-5</v>
      </c>
      <c r="CL15" s="561" t="str">
        <f ca="1">IF(CK15&lt;1,"",AX15)</f>
        <v/>
      </c>
      <c r="CM15" s="561">
        <f ca="1">IF($BD$1&lt;=7,COUNTIF($C15:$I15,"8")+RAND()*0.0001,COUNTIF($J15:$P15,"8")+RAND()*0.0001)</f>
        <v>7.9792956543611627E-6</v>
      </c>
      <c r="CN15" s="561" t="str">
        <f ca="1">IF(CM15&lt;1,"",AX15)</f>
        <v/>
      </c>
      <c r="CO15" s="1514"/>
      <c r="CP15" s="1401">
        <f ca="1">AE15+RAND()*0.01</f>
        <v>12.008550281394472</v>
      </c>
      <c r="CQ15" s="1433">
        <f>VLOOKUP(C15,$CO$2:$DF$11,18,FALSE)</f>
        <v>3</v>
      </c>
      <c r="CR15" s="1433">
        <f>VLOOKUP(D15,$CO$2:$DF$11,18,FALSE)</f>
        <v>3</v>
      </c>
      <c r="CS15" s="1433">
        <f>VLOOKUP(E15,$CO$2:$DF$11,18,FALSE)</f>
        <v>3</v>
      </c>
      <c r="CT15" s="1433">
        <f>VLOOKUP(F15,$CO$2:$DF$11,18,FALSE)</f>
        <v>3</v>
      </c>
      <c r="CU15" s="1433">
        <f>VLOOKUP(G15,$CO$2:$DF$11,18,FALSE)</f>
        <v>3</v>
      </c>
      <c r="CV15" s="1433">
        <f>VLOOKUP(H15,$CO$2:$DF$11,18,FALSE)</f>
        <v>3</v>
      </c>
      <c r="CW15" s="1433">
        <f>VLOOKUP(I15,$CO$2:$DF$11,18,FALSE)</f>
        <v>0</v>
      </c>
      <c r="CX15" s="1433">
        <f>VLOOKUP(J15,$CO$2:$DF$11,18,FALSE)</f>
        <v>0</v>
      </c>
      <c r="CY15" s="1433">
        <f>VLOOKUP(K15,$CO$2:$DF$11,18,FALSE)</f>
        <v>3</v>
      </c>
      <c r="CZ15" s="1433">
        <f>VLOOKUP(L15,$CO$2:$DF$11,18,FALSE)</f>
        <v>3</v>
      </c>
      <c r="DA15" s="1433">
        <f>VLOOKUP(M15,$CO$2:$DF$11,18,FALSE)</f>
        <v>3</v>
      </c>
      <c r="DB15" s="1433">
        <f>VLOOKUP(N15,$CO$2:$DF$11,18,FALSE)</f>
        <v>3</v>
      </c>
      <c r="DC15" s="1433">
        <f>VLOOKUP(O15,$CO$2:$DF$11,18,FALSE)</f>
        <v>3</v>
      </c>
      <c r="DD15" s="1433">
        <f>VLOOKUP(P15,$CO$2:$DF$11,18,FALSE)</f>
        <v>3</v>
      </c>
      <c r="DE15" s="1432">
        <f ca="1">IF(AND(DI15=0,A15=""),AL15,IF(DI15=0,AL15+VLOOKUP(AX15,[10]Critérium!$AC$49:$DE$100,81,FALSE),AL15+VLOOKUP(AX15,[10]Critérium!$B$6:$T$22,19,FALSE)+VLOOKUP(AX15,[10]Critérium!$AC$49:$DE$100,81,FALSE)))</f>
        <v>17</v>
      </c>
      <c r="DF15" s="1431"/>
      <c r="DG15" s="1429">
        <f ca="1">IF(AND(DI15=0,A15=""),AM15,IF(DI15=0,AM15+VLOOKUP(AX15,[10]Critérium!$AC$49:$DH$100,84,FALSE),AM15+VLOOKUP(AX15,[10]Critérium!$B$6:$V$22,21,FALSE)+VLOOKUP(AX15,[10]Critérium!$AC$49:$DH$100,84,FALSE)))</f>
        <v>40</v>
      </c>
      <c r="DH15" s="1430">
        <f ca="1">IF(DG15=0,0,(DE15/DG15+RAND()*0.0001))</f>
        <v>0.42502184641968888</v>
      </c>
      <c r="DI15" s="1429">
        <f>VLOOKUP(AX15,[10]liste!AN:AR,5,FALSE)</f>
        <v>0</v>
      </c>
      <c r="DJ15" s="1427">
        <f ca="1">DG15+RAND()</f>
        <v>40.533779221245389</v>
      </c>
      <c r="DK15" s="1427" t="str">
        <f>A15</f>
        <v>Rochefort Reginald</v>
      </c>
      <c r="DL15" s="1427"/>
      <c r="DM15" s="1428">
        <f>HLOOKUP($DM$1,$C$1:$P$70,15,FALSE)</f>
        <v>4</v>
      </c>
      <c r="DN15" s="1428">
        <f>HLOOKUP($DN$1,$Q$1:$AD$70,15,FALSE)</f>
        <v>2</v>
      </c>
      <c r="DO15" s="1401"/>
      <c r="DP15" s="1401"/>
      <c r="DR15" s="1400">
        <f>IF(SUM(C15:P15)=0,0,(AE15*10/SUM(C15:P15)/2)*AE15/21)</f>
        <v>0.7142857142857143</v>
      </c>
      <c r="DT15" s="299"/>
      <c r="DU15" s="299"/>
      <c r="DV15" s="299"/>
      <c r="DW15" s="299"/>
      <c r="DX15" s="299"/>
      <c r="DY15" s="299"/>
      <c r="DZ15" s="299"/>
      <c r="EA15" s="299"/>
    </row>
    <row r="16" spans="1:131" s="1427" customFormat="1" ht="21.95" customHeight="1">
      <c r="A16" s="1477" t="str">
        <f>[10]points!B26</f>
        <v>Baudais Luc</v>
      </c>
      <c r="B16" s="1476">
        <v>4</v>
      </c>
      <c r="C16" s="1428">
        <v>4</v>
      </c>
      <c r="D16" s="1428">
        <v>4</v>
      </c>
      <c r="E16" s="1428">
        <v>4</v>
      </c>
      <c r="F16" s="1428">
        <v>4</v>
      </c>
      <c r="G16" s="1428">
        <v>4</v>
      </c>
      <c r="H16" s="1428">
        <v>4</v>
      </c>
      <c r="I16" s="1475">
        <v>4</v>
      </c>
      <c r="J16" s="1428">
        <v>4</v>
      </c>
      <c r="K16" s="1428">
        <v>4</v>
      </c>
      <c r="L16" s="1428">
        <v>4</v>
      </c>
      <c r="M16" s="1428">
        <v>4</v>
      </c>
      <c r="N16" s="1428">
        <v>4</v>
      </c>
      <c r="O16" s="1428">
        <v>4</v>
      </c>
      <c r="P16" s="1474">
        <v>4</v>
      </c>
      <c r="Q16" s="1472">
        <v>0</v>
      </c>
      <c r="R16" s="1471">
        <v>1</v>
      </c>
      <c r="S16" s="1471">
        <v>1</v>
      </c>
      <c r="T16" s="1471">
        <v>0</v>
      </c>
      <c r="U16" s="1471">
        <v>0</v>
      </c>
      <c r="V16" s="1471">
        <v>0</v>
      </c>
      <c r="W16" s="1473">
        <v>3</v>
      </c>
      <c r="X16" s="1472">
        <v>2</v>
      </c>
      <c r="Y16" s="1471">
        <v>2</v>
      </c>
      <c r="Z16" s="1471">
        <v>2</v>
      </c>
      <c r="AA16" s="1471">
        <v>1</v>
      </c>
      <c r="AB16" s="1471">
        <v>1</v>
      </c>
      <c r="AC16" s="1471">
        <v>2</v>
      </c>
      <c r="AD16" s="1471">
        <v>2</v>
      </c>
      <c r="AE16" s="1458">
        <f>IF(B16="","",COUNTIF(C16:P16,"&gt;0"))</f>
        <v>14</v>
      </c>
      <c r="AF16" s="1470">
        <f>SUM(Q16:W16)</f>
        <v>5</v>
      </c>
      <c r="AG16" s="1470">
        <f>SUM(CQ16:CW16)</f>
        <v>21</v>
      </c>
      <c r="AH16" s="1469">
        <f ca="1">IF(AG16=0,"X",IF(AG16&lt;LARGE(AG$2:AG$70,1)/3,"NS",RAND()*0.00001+AF16/AG16))</f>
        <v>0.23810267837518395</v>
      </c>
      <c r="AI16" s="1470">
        <f>SUM(X16:AD16)</f>
        <v>12</v>
      </c>
      <c r="AJ16" s="1470">
        <f>SUM(CX16:DD16)</f>
        <v>21</v>
      </c>
      <c r="AK16" s="1469">
        <f ca="1">IF(AJ16=0,"X",IF(AJ16&lt;LARGE(AJ$2:AJ$70,1)/4,"NS",RAND()*0.00001+AI16/AJ16))</f>
        <v>0.57143456706891216</v>
      </c>
      <c r="AL16" s="1470">
        <f>SUM(Q16:AD16)</f>
        <v>17</v>
      </c>
      <c r="AM16" s="1470">
        <f>SUM(CQ16:DD16)</f>
        <v>42</v>
      </c>
      <c r="AN16" s="1469">
        <f ca="1">IF(AM16=0,"X",IF(AM16&lt;LARGE(AM$2:AM$70,1)/3,"NS",RAND()*0.00001+AL16/AM16))</f>
        <v>0.4047639309859834</v>
      </c>
      <c r="AO16" s="1437">
        <f ca="1">IF(B16="",10,B16+RAND()*0.01)</f>
        <v>4.001015437429194</v>
      </c>
      <c r="AP16" s="1437">
        <f ca="1">IF(AND(C16="",J16=""),"e",IF(J16="",IF($BD$1&lt;=7,C16+RAND()*0.01,"e"),J16+RAND()*0.01))</f>
        <v>4.006878650201628</v>
      </c>
      <c r="AQ16" s="1437">
        <f ca="1">IF(AND(D16="",K16=""),"e",IF(K16="",IF($BD$1&lt;=7,D16+RAND()*0.01,"e"),K16+RAND()*0.01))</f>
        <v>4.0009730676029616</v>
      </c>
      <c r="AR16" s="1437">
        <f ca="1">IF(AND(E16="",L16=""),"e",IF(L16="",IF($BD$1&lt;=7,E16+RAND()*0.01,"e"),L16+RAND()*0.01))</f>
        <v>4.0042292342009072</v>
      </c>
      <c r="AS16" s="1437">
        <f ca="1">IF(AND(F16="",M16=""),"e",IF(M16="",IF($BD$1&lt;=7,F16+RAND()*0.01,"e"),M16+RAND()*0.01))</f>
        <v>4.0078035418251536</v>
      </c>
      <c r="AT16" s="1437">
        <f ca="1">IF(AND(G16="",N16=""),"e",IF(N16="",IF($BD$1&lt;=7,G16+RAND()*0.01,"e"),N16+RAND()*0.01))</f>
        <v>4.0011823820495822</v>
      </c>
      <c r="AU16" s="1437">
        <f ca="1">IF(AND(H16="",O16=""),"e",IF(O16="",IF($BD$1&lt;=7,H16+RAND()*0.01,"e"),O16+RAND()*0.01))</f>
        <v>4.0038105337951082</v>
      </c>
      <c r="AV16" s="1437">
        <f ca="1">IF(AND(I16="",P16=""),"e",IF(P16="",IF($BD$1&lt;=7,I16+RAND()*0.01,"e"),P16+RAND()*0.01))</f>
        <v>4.006175983654253</v>
      </c>
      <c r="AW16" s="1437"/>
      <c r="AX16" s="1436" t="str">
        <f>A16</f>
        <v>Baudais Luc</v>
      </c>
      <c r="AY16" s="1580" t="str">
        <f>IF(OR($H$2&gt;0,$H$3&gt;0,$H$4&gt;0,$H$5&gt;0,$H$6&gt;0,$H$7&gt;0,$H$8&gt;0,$H$2&gt;0),"",IF(COUNTIF(C16:H16,"")&gt;=5,"",IF(COUNTIF(C16:H16,SMALL(C16:H16,1))&gt;=2,SMALL(C16:H16,1),SMALL(C16:H16,2))))</f>
        <v/>
      </c>
      <c r="AZ16" s="1581">
        <f>IF(COUNTIF(J16:O16,"")&gt;=5,"",IF(COUNTIF(J16:O16,SMALL(J16:O16,1))&gt;=2,SMALL(J16:O16,1),SMALL(J16:O16,2)))</f>
        <v>4</v>
      </c>
      <c r="BA16" s="1401"/>
      <c r="BB16" s="1482">
        <f ca="1">IF(ROUND(BD16,0)=ROUND(BD15,0),"-",3)</f>
        <v>3</v>
      </c>
      <c r="BC16" s="1478" t="str">
        <f ca="1">IF($BD$1&lt;=7,[10]clt!U23,[10]clt!BO23)</f>
        <v>CTT MENIMUR 3</v>
      </c>
      <c r="BD16" s="1481">
        <f ca="1">IF($BD$1&lt;=7,[10]clt!V23,[10]clt!BP23)</f>
        <v>15.000070890891182</v>
      </c>
      <c r="BE16" s="1480">
        <f ca="1">IF($BD$1&lt;=7,[10]clt!W23,[10]clt!BQ23)</f>
        <v>7</v>
      </c>
      <c r="BF16" s="1480">
        <f ca="1">IF($BD$1&lt;=7,[10]clt!X23,[10]clt!BR23)</f>
        <v>4</v>
      </c>
      <c r="BG16" s="1480">
        <f ca="1">IF($BD$1&lt;=7,[10]clt!Y23,[10]clt!BS23)</f>
        <v>0</v>
      </c>
      <c r="BH16" s="1480">
        <f ca="1">IF($BD$1&lt;=7,[10]clt!Z23,[10]clt!BT23)</f>
        <v>3</v>
      </c>
      <c r="BI16" s="1480">
        <f ca="1">IF($BD$1&lt;=7,[10]clt!AA23,[10]clt!BU23)</f>
        <v>52</v>
      </c>
      <c r="BJ16" s="1480">
        <f ca="1">IF($BD$1&lt;=7,[10]clt!AB23,[10]clt!BV23)</f>
        <v>46</v>
      </c>
      <c r="BK16" s="1461"/>
      <c r="BL16" s="1511" t="str">
        <f ca="1">IF(ROUND(BN16,0)=ROUND(BN15,0),"-",3)</f>
        <v>-</v>
      </c>
      <c r="BM16" s="1510" t="str">
        <f ca="1">IF($BD$1&lt;=7,[10]clt!U32,[10]clt!BO32)</f>
        <v>ES PLESCOP TT 5</v>
      </c>
      <c r="BN16" s="1509">
        <f ca="1">IF($BD$1&lt;=7,[10]clt!V32,[10]clt!BP32)</f>
        <v>15.000027749451164</v>
      </c>
      <c r="BO16" s="1508">
        <f ca="1">IF($BD$1&lt;=7,[10]clt!W32,[10]clt!BQ32)</f>
        <v>7</v>
      </c>
      <c r="BP16" s="1508">
        <f ca="1">IF($BD$1&lt;=7,[10]clt!X32,[10]clt!BR32)</f>
        <v>4</v>
      </c>
      <c r="BQ16" s="1508">
        <f ca="1">IF($BD$1&lt;=7,[10]clt!Y32,[10]clt!BS32)</f>
        <v>0</v>
      </c>
      <c r="BR16" s="1508">
        <f ca="1">IF($BD$1&lt;=7,[10]clt!Z32,[10]clt!BT32)</f>
        <v>3</v>
      </c>
      <c r="BS16" s="1508">
        <f ca="1">IF($BD$1&lt;=7,[10]clt!AA32,[10]clt!BU32)</f>
        <v>52</v>
      </c>
      <c r="BT16" s="1508">
        <f ca="1">IF($BD$1&lt;=7,[10]clt!AB32,[10]clt!BV32)</f>
        <v>46</v>
      </c>
      <c r="BU16" s="1507"/>
      <c r="BV16" s="1506" t="str">
        <f ca="1">'[10]résultats commentaires'!L4</f>
        <v>748 victoires sur 1305 simples disputés (57,3 %)</v>
      </c>
      <c r="BW16" s="1444"/>
      <c r="BX16" s="1504"/>
      <c r="BY16" s="561">
        <f ca="1">IF($BD$1&lt;=7,COUNTIF($C16:$I16,"1")+RAND()*0.0001,COUNTIF($J16:$P16,"1")+RAND()*0.0001)</f>
        <v>8.8637373529155901E-5</v>
      </c>
      <c r="BZ16" s="561" t="str">
        <f ca="1">IF(BY16&lt;1,"",AX16)</f>
        <v/>
      </c>
      <c r="CA16" s="561">
        <f ca="1">IF($BD$1&lt;=7,COUNTIF($C16:$I16,"2")+RAND()*0.0001,COUNTIF($J16:$P16,"2")+RAND()*0.0001)</f>
        <v>4.3794145271079658E-5</v>
      </c>
      <c r="CB16" s="561" t="str">
        <f ca="1">IF(CA16&lt;1,"",AX16)</f>
        <v/>
      </c>
      <c r="CC16" s="561">
        <f ca="1">IF($BD$1&lt;=7,COUNTIF($C16:$I16,"3")+RAND()*0.0001,COUNTIF($J16:$P16,"3")+RAND()*0.0001)</f>
        <v>2.5847954119218144E-5</v>
      </c>
      <c r="CD16" s="561" t="str">
        <f ca="1">IF(CC16&lt;1,"",AX16)</f>
        <v/>
      </c>
      <c r="CE16" s="561">
        <f ca="1">IF($BD$1&lt;=7,COUNTIF($C16:$I16,"4")+RAND()*0.0001,COUNTIF($J16:$P16,"4")+RAND()*0.0001)</f>
        <v>7.0000843315669501</v>
      </c>
      <c r="CF16" s="561" t="str">
        <f ca="1">IF(CE16&lt;1,"",AX16)</f>
        <v>Baudais Luc</v>
      </c>
      <c r="CG16" s="561">
        <f ca="1">IF($BD$1&lt;=7,COUNTIF($C16:$I16,"5")+RAND()*0.0001,COUNTIF($J16:$P16,"5")+RAND()*0.0001)</f>
        <v>5.0841452809828814E-5</v>
      </c>
      <c r="CH16" s="561" t="str">
        <f ca="1">IF(CG16&lt;1,"",AX16)</f>
        <v/>
      </c>
      <c r="CI16" s="561">
        <f ca="1">IF($BD$1&lt;=7,COUNTIF($C16:$I16,"6")+RAND()*0.0001,COUNTIF($J16:$P16,"6")+RAND()*0.0001)</f>
        <v>6.6650105870285324E-5</v>
      </c>
      <c r="CJ16" s="561" t="str">
        <f ca="1">IF(CI16&lt;1,"",AX16)</f>
        <v/>
      </c>
      <c r="CK16" s="561">
        <f ca="1">IF($BD$1&lt;=7,COUNTIF($C16:$I16,"7")+RAND()*0.0001,COUNTIF($J16:$P16,"7")+RAND()*0.0001)</f>
        <v>4.113001085800332E-5</v>
      </c>
      <c r="CL16" s="561" t="str">
        <f ca="1">IF(CK16&lt;1,"",AX16)</f>
        <v/>
      </c>
      <c r="CM16" s="561">
        <f ca="1">IF($BD$1&lt;=7,COUNTIF($C16:$I16,"8")+RAND()*0.0001,COUNTIF($J16:$P16,"8")+RAND()*0.0001)</f>
        <v>7.5476726174488087E-6</v>
      </c>
      <c r="CN16" s="561" t="str">
        <f ca="1">IF(CM16&lt;1,"",AX16)</f>
        <v/>
      </c>
      <c r="CO16" s="1514"/>
      <c r="CP16" s="1401">
        <f ca="1">AE16+RAND()*0.01</f>
        <v>14.00339793936813</v>
      </c>
      <c r="CQ16" s="1433">
        <f>VLOOKUP(C16,$CO$2:$DF$11,18,FALSE)</f>
        <v>3</v>
      </c>
      <c r="CR16" s="1433">
        <f>VLOOKUP(D16,$CO$2:$DF$11,18,FALSE)</f>
        <v>3</v>
      </c>
      <c r="CS16" s="1433">
        <f>VLOOKUP(E16,$CO$2:$DF$11,18,FALSE)</f>
        <v>3</v>
      </c>
      <c r="CT16" s="1433">
        <f>VLOOKUP(F16,$CO$2:$DF$11,18,FALSE)</f>
        <v>3</v>
      </c>
      <c r="CU16" s="1433">
        <f>VLOOKUP(G16,$CO$2:$DF$11,18,FALSE)</f>
        <v>3</v>
      </c>
      <c r="CV16" s="1433">
        <f>VLOOKUP(H16,$CO$2:$DF$11,18,FALSE)</f>
        <v>3</v>
      </c>
      <c r="CW16" s="1433">
        <f>VLOOKUP(I16,$CO$2:$DF$11,18,FALSE)</f>
        <v>3</v>
      </c>
      <c r="CX16" s="1433">
        <f>VLOOKUP(J16,$CO$2:$DF$11,18,FALSE)</f>
        <v>3</v>
      </c>
      <c r="CY16" s="1433">
        <f>VLOOKUP(K16,$CO$2:$DF$11,18,FALSE)</f>
        <v>3</v>
      </c>
      <c r="CZ16" s="1433">
        <f>VLOOKUP(L16,$CO$2:$DF$11,18,FALSE)</f>
        <v>3</v>
      </c>
      <c r="DA16" s="1433">
        <f>VLOOKUP(M16,$CO$2:$DF$11,18,FALSE)</f>
        <v>3</v>
      </c>
      <c r="DB16" s="1433">
        <f>VLOOKUP(N16,$CO$2:$DF$11,18,FALSE)</f>
        <v>3</v>
      </c>
      <c r="DC16" s="1433">
        <f>VLOOKUP(O16,$CO$2:$DF$11,18,FALSE)</f>
        <v>3</v>
      </c>
      <c r="DD16" s="1433">
        <f>VLOOKUP(P16,$CO$2:$DF$11,18,FALSE)</f>
        <v>3</v>
      </c>
      <c r="DE16" s="1432">
        <f ca="1">IF(AND(DI16=0,A16=""),AL16,IF(DI16=0,AL16+VLOOKUP(AX16,[10]Critérium!$AC$49:$DE$100,81,FALSE),AL16+VLOOKUP(AX16,[10]Critérium!$B$6:$T$22,19,FALSE)+VLOOKUP(AX16,[10]Critérium!$AC$49:$DE$100,81,FALSE)))</f>
        <v>20</v>
      </c>
      <c r="DF16" s="1431"/>
      <c r="DG16" s="1429">
        <f ca="1">IF(AND(DI16=0,A16=""),AM16,IF(DI16=0,AM16+VLOOKUP(AX16,[10]Critérium!$AC$49:$DH$100,84,FALSE),AM16+VLOOKUP(AX16,[10]Critérium!$B$6:$V$22,21,FALSE)+VLOOKUP(AX16,[10]Critérium!$AC$49:$DH$100,84,FALSE)))</f>
        <v>49</v>
      </c>
      <c r="DH16" s="1430">
        <f ca="1">IF(DG16=0,0,(DE16/DG16+RAND()*0.0001))</f>
        <v>0.40821246300257319</v>
      </c>
      <c r="DI16" s="1429">
        <f>VLOOKUP(AX16,[10]liste!AN:AR,5,FALSE)</f>
        <v>0</v>
      </c>
      <c r="DJ16" s="1427">
        <f ca="1">DG16+RAND()</f>
        <v>49.341874946046509</v>
      </c>
      <c r="DK16" s="1427" t="str">
        <f>A16</f>
        <v>Baudais Luc</v>
      </c>
      <c r="DM16" s="1428">
        <f>HLOOKUP($DM$1,$C$1:$P$70,16,FALSE)</f>
        <v>4</v>
      </c>
      <c r="DN16" s="1428">
        <f>HLOOKUP($DN$1,$Q$1:$AD$70,16,FALSE)</f>
        <v>2</v>
      </c>
      <c r="DO16" s="1401"/>
      <c r="DP16" s="1401"/>
      <c r="DQ16" s="1401"/>
      <c r="DR16" s="1400">
        <f>IF(SUM(C16:P16)=0,0,(AE16*10/SUM(C16:P16)/2)*AE16/21)</f>
        <v>0.83333333333333337</v>
      </c>
      <c r="DT16" s="1444"/>
      <c r="DU16" s="1444"/>
      <c r="DV16" s="1444"/>
      <c r="DW16" s="1444"/>
      <c r="DX16" s="1444"/>
      <c r="DY16" s="1444"/>
      <c r="DZ16" s="1444"/>
      <c r="EA16" s="1444"/>
    </row>
    <row r="17" spans="1:173" s="1427" customFormat="1" ht="21.95" customHeight="1">
      <c r="A17" s="1500" t="str">
        <f>[10]points!B24</f>
        <v>Couture Christophe</v>
      </c>
      <c r="B17" s="1499">
        <v>4</v>
      </c>
      <c r="C17" s="1497"/>
      <c r="D17" s="1497">
        <v>1</v>
      </c>
      <c r="E17" s="1497">
        <v>3</v>
      </c>
      <c r="F17" s="1497">
        <v>3</v>
      </c>
      <c r="G17" s="1497"/>
      <c r="H17" s="1497">
        <v>3</v>
      </c>
      <c r="I17" s="1498">
        <v>3</v>
      </c>
      <c r="J17" s="1497">
        <v>4</v>
      </c>
      <c r="K17" s="1497">
        <v>4</v>
      </c>
      <c r="L17" s="1497"/>
      <c r="M17" s="1497">
        <v>4</v>
      </c>
      <c r="N17" s="1497">
        <v>2</v>
      </c>
      <c r="O17" s="1497"/>
      <c r="P17" s="1496"/>
      <c r="Q17" s="1494"/>
      <c r="R17" s="1493">
        <v>0</v>
      </c>
      <c r="S17" s="1493">
        <v>2</v>
      </c>
      <c r="T17" s="1493">
        <v>2</v>
      </c>
      <c r="U17" s="1493"/>
      <c r="V17" s="1493">
        <v>1</v>
      </c>
      <c r="W17" s="1495">
        <v>1</v>
      </c>
      <c r="X17" s="1494">
        <v>2</v>
      </c>
      <c r="Y17" s="1493">
        <v>1</v>
      </c>
      <c r="Z17" s="1493"/>
      <c r="AA17" s="1493">
        <v>2</v>
      </c>
      <c r="AB17" s="1493">
        <v>0</v>
      </c>
      <c r="AC17" s="1493"/>
      <c r="AD17" s="1493"/>
      <c r="AE17" s="1492">
        <f>IF(B17="","",COUNTIF(C17:P17,"&gt;0"))</f>
        <v>9</v>
      </c>
      <c r="AF17" s="1490">
        <f>SUM(Q17:W17)</f>
        <v>6</v>
      </c>
      <c r="AG17" s="1470">
        <f>SUM(CQ17:CW17)</f>
        <v>15</v>
      </c>
      <c r="AH17" s="1469">
        <f ca="1">IF(AG17=0,"X",IF(AG17&lt;LARGE(AG$2:AG$70,1)/3,"NS",RAND()*0.00001+AF17/AG17))</f>
        <v>0.40000164888765699</v>
      </c>
      <c r="AI17" s="1490">
        <f>SUM(X17:AD17)</f>
        <v>5</v>
      </c>
      <c r="AJ17" s="1490">
        <f>SUM(CX17:DD17)</f>
        <v>12</v>
      </c>
      <c r="AK17" s="1491">
        <f ca="1">IF(AJ17=0,"X",IF(AJ17&lt;LARGE(AJ$2:AJ$70,1)/4,"NS",RAND()*0.00001+AI17/AJ17))</f>
        <v>0.41667310677598846</v>
      </c>
      <c r="AL17" s="1490">
        <f>SUM(Q17:AD17)</f>
        <v>11</v>
      </c>
      <c r="AM17" s="1490">
        <f>SUM(CQ17:DD17)</f>
        <v>27</v>
      </c>
      <c r="AN17" s="1469">
        <f ca="1">IF(AM17=0,"X",IF(AM17&lt;LARGE(AM$2:AM$70,1)/3,"NS",RAND()*0.00001+AL17/AM17))</f>
        <v>0.40741360481573768</v>
      </c>
      <c r="AO17" s="1437">
        <f ca="1">IF(B17="",10,B17+RAND()*0.01)</f>
        <v>4.0014212082012479</v>
      </c>
      <c r="AP17" s="1437">
        <f ca="1">IF(AND(C17="",J17=""),"e",IF(J17="",IF($BD$1&lt;=7,C17+RAND()*0.01,"e"),J17+RAND()*0.01))</f>
        <v>4.0027405214746592</v>
      </c>
      <c r="AQ17" s="1437">
        <f ca="1">IF(AND(D17="",K17=""),"e",IF(K17="",IF($BD$1&lt;=7,D17+RAND()*0.01,"e"),K17+RAND()*0.01))</f>
        <v>4.0017164616935625</v>
      </c>
      <c r="AR17" s="1437" t="str">
        <f ca="1">IF(AND(E17="",L17=""),"e",IF(L17="",IF($BD$1&lt;=7,E17+RAND()*0.01,"e"),L17+RAND()*0.01))</f>
        <v>e</v>
      </c>
      <c r="AS17" s="1437">
        <f ca="1">IF(AND(F17="",M17=""),"e",IF(M17="",IF($BD$1&lt;=7,F17+RAND()*0.01,"e"),M17+RAND()*0.01))</f>
        <v>4.0033444523701585</v>
      </c>
      <c r="AT17" s="1437">
        <f ca="1">IF(AND(G17="",N17=""),"e",IF(N17="",IF($BD$1&lt;=7,G17+RAND()*0.01,"e"),N17+RAND()*0.01))</f>
        <v>2.0007495386008434</v>
      </c>
      <c r="AU17" s="1437" t="str">
        <f ca="1">IF(AND(H17="",O17=""),"e",IF(O17="",IF($BD$1&lt;=7,H17+RAND()*0.01,"e"),O17+RAND()*0.01))</f>
        <v>e</v>
      </c>
      <c r="AV17" s="1437" t="str">
        <f ca="1">IF(AND(I17="",P17=""),"e",IF(P17="",IF($BD$1&lt;=7,I17+RAND()*0.01,"e"),P17+RAND()*0.01))</f>
        <v>e</v>
      </c>
      <c r="AW17" s="1437"/>
      <c r="AX17" s="1436" t="str">
        <f>A17</f>
        <v>Couture Christophe</v>
      </c>
      <c r="AY17" s="1580" t="str">
        <f>IF(OR($H$2&gt;0,$H$3&gt;0,$H$4&gt;0,$H$5&gt;0,$H$6&gt;0,$H$7&gt;0,$H$8&gt;0,$H$2&gt;0),"",IF(COUNTIF(C17:H17,"")&gt;=5,"",IF(COUNTIF(C17:H17,SMALL(C17:H17,1))&gt;=2,SMALL(C17:H17,1),SMALL(C17:H17,2))))</f>
        <v/>
      </c>
      <c r="AZ17" s="1581">
        <f>IF(COUNTIF(J17:O17,"")&gt;=5,"",IF(COUNTIF(J17:O17,SMALL(J17:O17,1))&gt;=2,SMALL(J17:O17,1),SMALL(J17:O17,2)))</f>
        <v>4</v>
      </c>
      <c r="BA17" s="1401"/>
      <c r="BB17" s="1482" t="str">
        <f ca="1">IF(ROUND(BD17,0)=ROUND(BD16,0),"-",4)</f>
        <v>-</v>
      </c>
      <c r="BC17" s="1478" t="str">
        <f ca="1">IF($BD$1&lt;=7,[10]clt!U24,[10]clt!BO24)</f>
        <v>MUZILLAC TT 3</v>
      </c>
      <c r="BD17" s="1481">
        <f ca="1">IF($BD$1&lt;=7,[10]clt!V24,[10]clt!BP24)</f>
        <v>15.000007842125443</v>
      </c>
      <c r="BE17" s="1480">
        <f ca="1">IF($BD$1&lt;=7,[10]clt!W24,[10]clt!BQ24)</f>
        <v>7</v>
      </c>
      <c r="BF17" s="1480">
        <f ca="1">IF($BD$1&lt;=7,[10]clt!X24,[10]clt!BR24)</f>
        <v>4</v>
      </c>
      <c r="BG17" s="1480">
        <f ca="1">IF($BD$1&lt;=7,[10]clt!Y24,[10]clt!BS24)</f>
        <v>0</v>
      </c>
      <c r="BH17" s="1480">
        <f ca="1">IF($BD$1&lt;=7,[10]clt!Z24,[10]clt!BT24)</f>
        <v>3</v>
      </c>
      <c r="BI17" s="1480">
        <f ca="1">IF($BD$1&lt;=7,[10]clt!AA24,[10]clt!BU24)</f>
        <v>54</v>
      </c>
      <c r="BJ17" s="1480">
        <f ca="1">IF($BD$1&lt;=7,[10]clt!AB24,[10]clt!BV24)</f>
        <v>44</v>
      </c>
      <c r="BK17" s="1461"/>
      <c r="BL17" s="1511" t="str">
        <f ca="1">IF(ROUND(BN17,0)=ROUND(BN16,0),"-",4)</f>
        <v>-</v>
      </c>
      <c r="BM17" s="1510" t="str">
        <f ca="1">IF($BD$1&lt;=7,[10]clt!U33,[10]clt!BO33)</f>
        <v>BO QUESTEMBERT 2</v>
      </c>
      <c r="BN17" s="1509">
        <f ca="1">IF($BD$1&lt;=7,[10]clt!V33,[10]clt!BP33)</f>
        <v>15.000002994249906</v>
      </c>
      <c r="BO17" s="1508">
        <f ca="1">IF($BD$1&lt;=7,[10]clt!W33,[10]clt!BQ33)</f>
        <v>7</v>
      </c>
      <c r="BP17" s="1508">
        <f ca="1">IF($BD$1&lt;=7,[10]clt!X33,[10]clt!BR33)</f>
        <v>4</v>
      </c>
      <c r="BQ17" s="1508">
        <f ca="1">IF($BD$1&lt;=7,[10]clt!Y33,[10]clt!BS33)</f>
        <v>0</v>
      </c>
      <c r="BR17" s="1508">
        <f ca="1">IF($BD$1&lt;=7,[10]clt!Z33,[10]clt!BT33)</f>
        <v>3</v>
      </c>
      <c r="BS17" s="1508">
        <f ca="1">IF($BD$1&lt;=7,[10]clt!AA33,[10]clt!BU33)</f>
        <v>53</v>
      </c>
      <c r="BT17" s="1508">
        <f ca="1">IF($BD$1&lt;=7,[10]clt!AB33,[10]clt!BV33)</f>
        <v>45</v>
      </c>
      <c r="BU17" s="1507"/>
      <c r="BV17" s="1506" t="str">
        <f ca="1">'[10]résultats commentaires'!L5</f>
        <v>94 doubles gagnés sur 190 disputés (49,5 %)</v>
      </c>
      <c r="BW17" s="1505"/>
      <c r="BX17" s="1504"/>
      <c r="BY17" s="561">
        <f ca="1">IF($BD$1&lt;=7,COUNTIF($C17:$I17,"1")+RAND()*0.0001,COUNTIF($J17:$P17,"1")+RAND()*0.0001)</f>
        <v>9.176745197986207E-5</v>
      </c>
      <c r="BZ17" s="561" t="str">
        <f ca="1">IF(BY17&lt;1,"",AX17)</f>
        <v/>
      </c>
      <c r="CA17" s="561">
        <f ca="1">IF($BD$1&lt;=7,COUNTIF($C17:$I17,"2")+RAND()*0.0001,COUNTIF($J17:$P17,"2")+RAND()*0.0001)</f>
        <v>1.0000632924488218</v>
      </c>
      <c r="CB17" s="561" t="str">
        <f ca="1">IF(CA17&lt;1,"",AX17)</f>
        <v>Couture Christophe</v>
      </c>
      <c r="CC17" s="561">
        <f ca="1">IF($BD$1&lt;=7,COUNTIF($C17:$I17,"3")+RAND()*0.0001,COUNTIF($J17:$P17,"3")+RAND()*0.0001)</f>
        <v>7.0353464400834271E-5</v>
      </c>
      <c r="CD17" s="561" t="str">
        <f ca="1">IF(CC17&lt;1,"",AX17)</f>
        <v/>
      </c>
      <c r="CE17" s="561">
        <f ca="1">IF($BD$1&lt;=7,COUNTIF($C17:$I17,"4")+RAND()*0.0001,COUNTIF($J17:$P17,"4")+RAND()*0.0001)</f>
        <v>3.0000235946486034</v>
      </c>
      <c r="CF17" s="561" t="str">
        <f ca="1">IF(CE17&lt;1,"",AX17)</f>
        <v>Couture Christophe</v>
      </c>
      <c r="CG17" s="561">
        <f ca="1">IF($BD$1&lt;=7,COUNTIF($C17:$I17,"5")+RAND()*0.0001,COUNTIF($J17:$P17,"5")+RAND()*0.0001)</f>
        <v>8.7289417710013345E-5</v>
      </c>
      <c r="CH17" s="561" t="str">
        <f ca="1">IF(CG17&lt;1,"",AX17)</f>
        <v/>
      </c>
      <c r="CI17" s="561">
        <f ca="1">IF($BD$1&lt;=7,COUNTIF($C17:$I17,"6")+RAND()*0.0001,COUNTIF($J17:$P17,"6")+RAND()*0.0001)</f>
        <v>7.9132820436363677E-5</v>
      </c>
      <c r="CJ17" s="561" t="str">
        <f ca="1">IF(CI17&lt;1,"",AX17)</f>
        <v/>
      </c>
      <c r="CK17" s="561">
        <f ca="1">IF($BD$1&lt;=7,COUNTIF($C17:$I17,"7")+RAND()*0.0001,COUNTIF($J17:$P17,"7")+RAND()*0.0001)</f>
        <v>1.0436082140162395E-5</v>
      </c>
      <c r="CL17" s="561" t="str">
        <f ca="1">IF(CK17&lt;1,"",AX17)</f>
        <v/>
      </c>
      <c r="CM17" s="561">
        <f ca="1">IF($BD$1&lt;=7,COUNTIF($C17:$I17,"8")+RAND()*0.0001,COUNTIF($J17:$P17,"8")+RAND()*0.0001)</f>
        <v>4.7386739528756419E-5</v>
      </c>
      <c r="CN17" s="561" t="str">
        <f ca="1">IF(CM17&lt;1,"",AX17)</f>
        <v/>
      </c>
      <c r="CO17" s="1482"/>
      <c r="CP17" s="1401">
        <f ca="1">AE17+RAND()*0.01</f>
        <v>9.0002901234395445</v>
      </c>
      <c r="CQ17" s="1433">
        <f>VLOOKUP(C17,$CO$2:$DF$11,18,FALSE)</f>
        <v>0</v>
      </c>
      <c r="CR17" s="1433">
        <f>VLOOKUP(D17,$CO$2:$DF$11,18,FALSE)</f>
        <v>3</v>
      </c>
      <c r="CS17" s="1433">
        <f>VLOOKUP(E17,$CO$2:$DF$11,18,FALSE)</f>
        <v>3</v>
      </c>
      <c r="CT17" s="1433">
        <f>VLOOKUP(F17,$CO$2:$DF$11,18,FALSE)</f>
        <v>3</v>
      </c>
      <c r="CU17" s="1433">
        <f>VLOOKUP(G17,$CO$2:$DF$11,18,FALSE)</f>
        <v>0</v>
      </c>
      <c r="CV17" s="1433">
        <f>VLOOKUP(H17,$CO$2:$DF$11,18,FALSE)</f>
        <v>3</v>
      </c>
      <c r="CW17" s="1433">
        <f>VLOOKUP(I17,$CO$2:$DF$11,18,FALSE)</f>
        <v>3</v>
      </c>
      <c r="CX17" s="1433">
        <f>VLOOKUP(J17,$CO$2:$DF$11,18,FALSE)</f>
        <v>3</v>
      </c>
      <c r="CY17" s="1433">
        <f>VLOOKUP(K17,$CO$2:$DF$11,18,FALSE)</f>
        <v>3</v>
      </c>
      <c r="CZ17" s="1433">
        <f>VLOOKUP(L17,$CO$2:$DF$11,18,FALSE)</f>
        <v>0</v>
      </c>
      <c r="DA17" s="1433">
        <f>VLOOKUP(M17,$CO$2:$DF$11,18,FALSE)</f>
        <v>3</v>
      </c>
      <c r="DB17" s="1433">
        <f>VLOOKUP(N17,$CO$2:$DF$11,18,FALSE)</f>
        <v>3</v>
      </c>
      <c r="DC17" s="1433">
        <f>VLOOKUP(O17,$CO$2:$DF$11,18,FALSE)</f>
        <v>0</v>
      </c>
      <c r="DD17" s="1433">
        <f>VLOOKUP(P17,$CO$2:$DF$11,18,FALSE)</f>
        <v>0</v>
      </c>
      <c r="DE17" s="1432">
        <f ca="1">IF(AND(DI17=0,A17=""),AL17,IF(DI17=0,AL17+VLOOKUP(AX17,[10]Critérium!$AC$49:$DE$100,81,FALSE),AL17+VLOOKUP(AX17,[10]Critérium!$B$6:$T$22,19,FALSE)+VLOOKUP(AX17,[10]Critérium!$AC$49:$DE$100,81,FALSE)))</f>
        <v>11</v>
      </c>
      <c r="DF17" s="1431"/>
      <c r="DG17" s="1429">
        <f ca="1">IF(AND(DI17=0,A17=""),AM17,IF(DI17=0,AM17+VLOOKUP(AX17,[10]Critérium!$AC$49:$DH$100,84,FALSE),AM17+VLOOKUP(AX17,[10]Critérium!$B$6:$V$22,21,FALSE)+VLOOKUP(AX17,[10]Critérium!$AC$49:$DH$100,84,FALSE)))</f>
        <v>29</v>
      </c>
      <c r="DH17" s="1430">
        <f ca="1">IF(DG17=0,0,(DE17/DG17+RAND()*0.0001))</f>
        <v>0.37935107338291418</v>
      </c>
      <c r="DI17" s="1429">
        <f>VLOOKUP(AX17,[10]liste!AN:AR,5,FALSE)</f>
        <v>0</v>
      </c>
      <c r="DJ17" s="1427">
        <f ca="1">DG17+RAND()</f>
        <v>29.305717355503845</v>
      </c>
      <c r="DK17" s="1427" t="str">
        <f>A17</f>
        <v>Couture Christophe</v>
      </c>
      <c r="DM17" s="1428">
        <f>HLOOKUP($DM$1,$C$1:$P$70,17,FALSE)</f>
        <v>0</v>
      </c>
      <c r="DN17" s="1428">
        <f>HLOOKUP($DN$1,$Q$1:$AD$70,17,FALSE)</f>
        <v>0</v>
      </c>
      <c r="DO17" s="1401"/>
      <c r="DP17" s="1401"/>
      <c r="DQ17" s="1401"/>
      <c r="DR17" s="1400">
        <f>IF(SUM(C17:P17)=0,0,(AE17*10/SUM(C17:P17)/2)*AE17/21)</f>
        <v>0.7142857142857143</v>
      </c>
      <c r="DT17" s="1444"/>
      <c r="DU17" s="1444"/>
      <c r="DV17" s="1444"/>
      <c r="DW17" s="1444"/>
      <c r="DX17" s="1444"/>
      <c r="DY17" s="1444"/>
      <c r="DZ17" s="1444"/>
      <c r="EA17" s="1444"/>
    </row>
    <row r="18" spans="1:173" s="1400" customFormat="1" ht="21.95" customHeight="1">
      <c r="A18" s="1477" t="str">
        <f>[10]points!B27</f>
        <v>Colombel Guy</v>
      </c>
      <c r="B18" s="1476">
        <v>4</v>
      </c>
      <c r="C18" s="1428"/>
      <c r="D18" s="1428"/>
      <c r="E18" s="1428">
        <v>4</v>
      </c>
      <c r="F18" s="1428"/>
      <c r="G18" s="1428">
        <v>4</v>
      </c>
      <c r="H18" s="1428"/>
      <c r="I18" s="1475">
        <v>4</v>
      </c>
      <c r="J18" s="1428">
        <v>4</v>
      </c>
      <c r="K18" s="1428">
        <v>2</v>
      </c>
      <c r="L18" s="1428">
        <v>4</v>
      </c>
      <c r="M18" s="1428"/>
      <c r="N18" s="1428">
        <v>4</v>
      </c>
      <c r="O18" s="1428">
        <v>4</v>
      </c>
      <c r="P18" s="1474"/>
      <c r="Q18" s="1472"/>
      <c r="R18" s="1471"/>
      <c r="S18" s="1471">
        <v>1</v>
      </c>
      <c r="T18" s="1471"/>
      <c r="U18" s="1471">
        <v>1</v>
      </c>
      <c r="V18" s="1471"/>
      <c r="W18" s="1473">
        <v>1</v>
      </c>
      <c r="X18" s="1472">
        <v>2</v>
      </c>
      <c r="Y18" s="1471">
        <v>1</v>
      </c>
      <c r="Z18" s="1471">
        <v>2</v>
      </c>
      <c r="AA18" s="1471"/>
      <c r="AB18" s="1471">
        <v>1</v>
      </c>
      <c r="AC18" s="1471">
        <v>2</v>
      </c>
      <c r="AD18" s="1471">
        <v>1</v>
      </c>
      <c r="AE18" s="1458">
        <f>IF(B18="","",COUNTIF(C18:P18,"&gt;0"))</f>
        <v>8</v>
      </c>
      <c r="AF18" s="1470">
        <f>SUM(Q18:W18)</f>
        <v>3</v>
      </c>
      <c r="AG18" s="1470">
        <f>SUM(CQ18:CW18)</f>
        <v>9</v>
      </c>
      <c r="AH18" s="1469">
        <f ca="1">IF(AG18=0,"X",IF(AG18&lt;LARGE(AG$2:AG$70,1)/3,"NS",RAND()*0.00001+AF18/AG18))</f>
        <v>0.33333706620285991</v>
      </c>
      <c r="AI18" s="1470">
        <f>SUM(X18:AD18)</f>
        <v>9</v>
      </c>
      <c r="AJ18" s="1470">
        <f>SUM(CX18:DD18)</f>
        <v>15</v>
      </c>
      <c r="AK18" s="1469">
        <f ca="1">IF(AJ18=0,"X",IF(AJ18&lt;LARGE(AJ$2:AJ$70,1)/4,"NS",RAND()*0.00001+AI18/AJ18))</f>
        <v>0.60000633033443207</v>
      </c>
      <c r="AL18" s="1470">
        <f>SUM(Q18:AD18)</f>
        <v>12</v>
      </c>
      <c r="AM18" s="1470">
        <f>SUM(CQ18:DD18)</f>
        <v>24</v>
      </c>
      <c r="AN18" s="1469">
        <f ca="1">IF(AM18=0,"X",IF(AM18&lt;LARGE(AM$2:AM$70,1)/3,"NS",RAND()*0.00001+AL18/AM18))</f>
        <v>0.50000713408833464</v>
      </c>
      <c r="AO18" s="1437">
        <f ca="1">IF(B18="",10,B18+RAND()*0.01)</f>
        <v>4.0054489800381772</v>
      </c>
      <c r="AP18" s="1437">
        <f ca="1">IF(AND(C18="",J18=""),"e",IF(J18="",IF($BD$1&lt;=7,C18+RAND()*0.01,"e"),J18+RAND()*0.01))</f>
        <v>4.0065791765900318</v>
      </c>
      <c r="AQ18" s="1437">
        <f ca="1">IF(AND(D18="",K18=""),"e",IF(K18="",IF($BD$1&lt;=7,D18+RAND()*0.01,"e"),K18+RAND()*0.01))</f>
        <v>2.0051395272878421</v>
      </c>
      <c r="AR18" s="1437">
        <f ca="1">IF(AND(E18="",L18=""),"e",IF(L18="",IF($BD$1&lt;=7,E18+RAND()*0.01,"e"),L18+RAND()*0.01))</f>
        <v>4.0033785828144053</v>
      </c>
      <c r="AS18" s="1437" t="str">
        <f ca="1">IF(AND(F18="",M18=""),"e",IF(M18="",IF($BD$1&lt;=7,F18+RAND()*0.01,"e"),M18+RAND()*0.01))</f>
        <v>e</v>
      </c>
      <c r="AT18" s="1437">
        <f ca="1">IF(AND(G18="",N18=""),"e",IF(N18="",IF($BD$1&lt;=7,G18+RAND()*0.01,"e"),N18+RAND()*0.01))</f>
        <v>4.0046337342417448</v>
      </c>
      <c r="AU18" s="1437">
        <f ca="1">IF(AND(H18="",O18=""),"e",IF(O18="",IF($BD$1&lt;=7,H18+RAND()*0.01,"e"),O18+RAND()*0.01))</f>
        <v>4.0019082603580749</v>
      </c>
      <c r="AV18" s="1437" t="str">
        <f ca="1">IF(AND(I18="",P18=""),"e",IF(P18="",IF($BD$1&lt;=7,I18+RAND()*0.01,"e"),P18+RAND()*0.01))</f>
        <v>e</v>
      </c>
      <c r="AW18" s="1437"/>
      <c r="AX18" s="1436" t="str">
        <f>A18</f>
        <v>Colombel Guy</v>
      </c>
      <c r="AY18" s="1580" t="str">
        <f>IF(OR($H$2&gt;0,$H$3&gt;0,$H$4&gt;0,$H$5&gt;0,$H$6&gt;0,$H$7&gt;0,$H$8&gt;0,$H$2&gt;0),"",IF(COUNTIF(C18:H18,"")&gt;=5,"",IF(COUNTIF(C18:H18,SMALL(C18:H18,1))&gt;=2,SMALL(C18:H18,1),SMALL(C18:H18,2))))</f>
        <v/>
      </c>
      <c r="AZ18" s="1581">
        <f>IF(COUNTIF(J18:O18,"")&gt;=5,"",IF(COUNTIF(J18:O18,SMALL(J18:O18,1))&gt;=2,SMALL(J18:O18,1),SMALL(J18:O18,2)))</f>
        <v>4</v>
      </c>
      <c r="BA18" s="1401"/>
      <c r="BB18" s="1482">
        <f ca="1">IF(ROUND(BD18,0)=ROUND(BD17,0),"-",5)</f>
        <v>5</v>
      </c>
      <c r="BC18" s="1478" t="str">
        <f ca="1">IF($BD$1&lt;=7,[10]clt!U25,[10]clt!BO25)</f>
        <v>FC ST-RAOUL 1</v>
      </c>
      <c r="BD18" s="1481">
        <f ca="1">IF($BD$1&lt;=7,[10]clt!V25,[10]clt!BP25)</f>
        <v>13.000091142473766</v>
      </c>
      <c r="BE18" s="1480">
        <f ca="1">IF($BD$1&lt;=7,[10]clt!W25,[10]clt!BQ25)</f>
        <v>7</v>
      </c>
      <c r="BF18" s="1480">
        <f ca="1">IF($BD$1&lt;=7,[10]clt!X25,[10]clt!BR25)</f>
        <v>3</v>
      </c>
      <c r="BG18" s="1480">
        <f ca="1">IF($BD$1&lt;=7,[10]clt!Y25,[10]clt!BS25)</f>
        <v>0</v>
      </c>
      <c r="BH18" s="1480">
        <f ca="1">IF($BD$1&lt;=7,[10]clt!Z25,[10]clt!BT25)</f>
        <v>4</v>
      </c>
      <c r="BI18" s="1480">
        <f ca="1">IF($BD$1&lt;=7,[10]clt!AA25,[10]clt!BU25)</f>
        <v>47</v>
      </c>
      <c r="BJ18" s="1480">
        <f ca="1">IF($BD$1&lt;=7,[10]clt!AB25,[10]clt!BV25)</f>
        <v>51</v>
      </c>
      <c r="BK18" s="1401"/>
      <c r="BL18" s="1511">
        <f ca="1">IF(ROUND(BN18,0)=ROUND(BN17,0),"-",5)</f>
        <v>5</v>
      </c>
      <c r="BM18" s="1510" t="str">
        <f ca="1">IF($BD$1&lt;=7,[10]clt!U34,[10]clt!BO34)</f>
        <v>ASPTT VANNES 4</v>
      </c>
      <c r="BN18" s="1509">
        <f ca="1">IF($BD$1&lt;=7,[10]clt!V34,[10]clt!BP34)</f>
        <v>14.000007449119323</v>
      </c>
      <c r="BO18" s="1508">
        <f ca="1">IF($BD$1&lt;=7,[10]clt!W34,[10]clt!BQ34)</f>
        <v>7</v>
      </c>
      <c r="BP18" s="1508">
        <f ca="1">IF($BD$1&lt;=7,[10]clt!X34,[10]clt!BR34)</f>
        <v>3</v>
      </c>
      <c r="BQ18" s="1508">
        <f ca="1">IF($BD$1&lt;=7,[10]clt!Y34,[10]clt!BS34)</f>
        <v>1</v>
      </c>
      <c r="BR18" s="1508">
        <f ca="1">IF($BD$1&lt;=7,[10]clt!Z34,[10]clt!BT34)</f>
        <v>3</v>
      </c>
      <c r="BS18" s="1508">
        <f ca="1">IF($BD$1&lt;=7,[10]clt!AA34,[10]clt!BU34)</f>
        <v>49</v>
      </c>
      <c r="BT18" s="1508">
        <f ca="1">IF($BD$1&lt;=7,[10]clt!AB34,[10]clt!BV34)</f>
        <v>49</v>
      </c>
      <c r="BU18" s="1507"/>
      <c r="BV18" s="1506">
        <f>'[10]résultats commentaires'!L6</f>
        <v>0</v>
      </c>
      <c r="BW18" s="1505"/>
      <c r="BX18" s="1504"/>
      <c r="BY18" s="561">
        <f ca="1">IF($BD$1&lt;=7,COUNTIF($C18:$I18,"1")+RAND()*0.0001,COUNTIF($J18:$P18,"1")+RAND()*0.0001)</f>
        <v>9.1188490319830034E-5</v>
      </c>
      <c r="BZ18" s="561" t="str">
        <f ca="1">IF(BY18&lt;1,"",AX18)</f>
        <v/>
      </c>
      <c r="CA18" s="561">
        <f ca="1">IF($BD$1&lt;=7,COUNTIF($C18:$I18,"2")+RAND()*0.0001,COUNTIF($J18:$P18,"2")+RAND()*0.0001)</f>
        <v>1.0000804962233016</v>
      </c>
      <c r="CB18" s="561" t="str">
        <f ca="1">IF(CA18&lt;1,"",AX18)</f>
        <v>Colombel Guy</v>
      </c>
      <c r="CC18" s="561">
        <f ca="1">IF($BD$1&lt;=7,COUNTIF($C18:$I18,"3")+RAND()*0.0001,COUNTIF($J18:$P18,"3")+RAND()*0.0001)</f>
        <v>7.9199867800383014E-6</v>
      </c>
      <c r="CD18" s="561" t="str">
        <f ca="1">IF(CC18&lt;1,"",AX18)</f>
        <v/>
      </c>
      <c r="CE18" s="561">
        <f ca="1">IF($BD$1&lt;=7,COUNTIF($C18:$I18,"4")+RAND()*0.0001,COUNTIF($J18:$P18,"4")+RAND()*0.0001)</f>
        <v>4.0000953489978075</v>
      </c>
      <c r="CF18" s="561" t="str">
        <f ca="1">IF(CE18&lt;1,"",AX18)</f>
        <v>Colombel Guy</v>
      </c>
      <c r="CG18" s="561">
        <f ca="1">IF($BD$1&lt;=7,COUNTIF($C18:$I18,"5")+RAND()*0.0001,COUNTIF($J18:$P18,"5")+RAND()*0.0001)</f>
        <v>6.9031431037804703E-5</v>
      </c>
      <c r="CH18" s="561" t="str">
        <f ca="1">IF(CG18&lt;1,"",AX18)</f>
        <v/>
      </c>
      <c r="CI18" s="561">
        <f ca="1">IF($BD$1&lt;=7,COUNTIF($C18:$I18,"6")+RAND()*0.0001,COUNTIF($J18:$P18,"6")+RAND()*0.0001)</f>
        <v>5.9471089621316868E-7</v>
      </c>
      <c r="CJ18" s="561" t="str">
        <f ca="1">IF(CI18&lt;1,"",AX18)</f>
        <v/>
      </c>
      <c r="CK18" s="561">
        <f ca="1">IF($BD$1&lt;=7,COUNTIF($C18:$I18,"7")+RAND()*0.0001,COUNTIF($J18:$P18,"7")+RAND()*0.0001)</f>
        <v>3.5264395572725495E-5</v>
      </c>
      <c r="CL18" s="561" t="str">
        <f ca="1">IF(CK18&lt;1,"",AX18)</f>
        <v/>
      </c>
      <c r="CM18" s="561">
        <f ca="1">IF($BD$1&lt;=7,COUNTIF($C18:$I18,"8")+RAND()*0.0001,COUNTIF($J18:$P18,"8")+RAND()*0.0001)</f>
        <v>5.7963014095905054E-5</v>
      </c>
      <c r="CN18" s="561" t="str">
        <f ca="1">IF(CM18&lt;1,"",AX18)</f>
        <v/>
      </c>
      <c r="CO18" s="1482"/>
      <c r="CP18" s="1401">
        <f ca="1">AE18+RAND()*0.01</f>
        <v>8.0097411934039169</v>
      </c>
      <c r="CQ18" s="1433">
        <f>VLOOKUP(C18,$CO$2:$DF$11,18,FALSE)</f>
        <v>0</v>
      </c>
      <c r="CR18" s="1433">
        <f>VLOOKUP(D18,$CO$2:$DF$11,18,FALSE)</f>
        <v>0</v>
      </c>
      <c r="CS18" s="1433">
        <f>VLOOKUP(E18,$CO$2:$DF$11,18,FALSE)</f>
        <v>3</v>
      </c>
      <c r="CT18" s="1433">
        <f>VLOOKUP(F18,$CO$2:$DF$11,18,FALSE)</f>
        <v>0</v>
      </c>
      <c r="CU18" s="1433">
        <f>VLOOKUP(G18,$CO$2:$DF$11,18,FALSE)</f>
        <v>3</v>
      </c>
      <c r="CV18" s="1433">
        <f>VLOOKUP(H18,$CO$2:$DF$11,18,FALSE)</f>
        <v>0</v>
      </c>
      <c r="CW18" s="1433">
        <f>VLOOKUP(I18,$CO$2:$DF$11,18,FALSE)</f>
        <v>3</v>
      </c>
      <c r="CX18" s="1433">
        <f>VLOOKUP(J18,$CO$2:$DF$11,18,FALSE)</f>
        <v>3</v>
      </c>
      <c r="CY18" s="1433">
        <f>VLOOKUP(K18,$CO$2:$DF$11,18,FALSE)</f>
        <v>3</v>
      </c>
      <c r="CZ18" s="1433">
        <f>VLOOKUP(L18,$CO$2:$DF$11,18,FALSE)</f>
        <v>3</v>
      </c>
      <c r="DA18" s="1433">
        <f>VLOOKUP(M18,$CO$2:$DF$11,18,FALSE)</f>
        <v>0</v>
      </c>
      <c r="DB18" s="1433">
        <f>VLOOKUP(N18,$CO$2:$DF$11,18,FALSE)</f>
        <v>3</v>
      </c>
      <c r="DC18" s="1433">
        <f>VLOOKUP(O18,$CO$2:$DF$11,18,FALSE)</f>
        <v>3</v>
      </c>
      <c r="DD18" s="1433">
        <f>VLOOKUP(P18,$CO$2:$DF$11,18,FALSE)</f>
        <v>0</v>
      </c>
      <c r="DE18" s="1432">
        <f ca="1">IF(AND(DI18=0,A18=""),AL18,IF(DI18=0,AL18+VLOOKUP(AX18,[10]Critérium!$AC$49:$DE$100,81,FALSE),AL18+VLOOKUP(AX18,[10]Critérium!$B$6:$T$22,19,FALSE)+VLOOKUP(AX18,[10]Critérium!$AC$49:$DE$100,81,FALSE)))</f>
        <v>15</v>
      </c>
      <c r="DF18" s="1431"/>
      <c r="DG18" s="1429">
        <f ca="1">IF(AND(DI18=0,A18=""),AM18,IF(DI18=0,AM18+VLOOKUP(AX18,[10]Critérium!$AC$49:$DH$100,84,FALSE),AM18+VLOOKUP(AX18,[10]Critérium!$B$6:$V$22,21,FALSE)+VLOOKUP(AX18,[10]Critérium!$AC$49:$DH$100,84,FALSE)))</f>
        <v>29</v>
      </c>
      <c r="DH18" s="1430">
        <f ca="1">IF(DG18=0,0,(DE18/DG18+RAND()*0.0001))</f>
        <v>0.51730440546954604</v>
      </c>
      <c r="DI18" s="1429">
        <f>VLOOKUP(AX18,[10]liste!AN:AR,5,FALSE)</f>
        <v>0</v>
      </c>
      <c r="DJ18" s="1427">
        <f ca="1">DG18+RAND()</f>
        <v>29.295665896735059</v>
      </c>
      <c r="DK18" s="1427" t="str">
        <f>A18</f>
        <v>Colombel Guy</v>
      </c>
      <c r="DL18" s="1427"/>
      <c r="DM18" s="1428">
        <f>HLOOKUP($DM$1,$C$1:$P$70,18,FALSE)</f>
        <v>0</v>
      </c>
      <c r="DN18" s="1428">
        <f>HLOOKUP($DN$1,$Q$1:$AD$70,18,FALSE)</f>
        <v>1</v>
      </c>
      <c r="DO18" s="1401"/>
      <c r="DP18" s="1401"/>
      <c r="DQ18" s="1401"/>
      <c r="DR18" s="1400">
        <f>IF(SUM(C18:P18)=0,0,(AE18*10/SUM(C18:P18)/2)*AE18/21)</f>
        <v>0.50793650793650791</v>
      </c>
      <c r="DT18" s="1513"/>
      <c r="DU18" s="1513"/>
      <c r="DV18" s="1513"/>
      <c r="DW18" s="1513"/>
      <c r="DX18" s="1513"/>
      <c r="DY18" s="1513"/>
      <c r="DZ18" s="1513"/>
      <c r="EA18" s="1513"/>
    </row>
    <row r="19" spans="1:173" s="1400" customFormat="1" ht="21.95" customHeight="1">
      <c r="A19" s="1477" t="str">
        <f>[10]points!B44</f>
        <v>Morin Léa</v>
      </c>
      <c r="B19" s="1476">
        <v>5</v>
      </c>
      <c r="C19" s="1428">
        <v>8</v>
      </c>
      <c r="D19" s="1428">
        <v>8</v>
      </c>
      <c r="E19" s="1428">
        <v>8</v>
      </c>
      <c r="F19" s="1428">
        <v>8</v>
      </c>
      <c r="G19" s="1428">
        <v>8</v>
      </c>
      <c r="H19" s="1428">
        <v>8</v>
      </c>
      <c r="I19" s="1475">
        <v>8</v>
      </c>
      <c r="J19" s="1428">
        <v>5</v>
      </c>
      <c r="K19" s="1428">
        <v>5</v>
      </c>
      <c r="L19" s="1428">
        <v>3</v>
      </c>
      <c r="M19" s="1428">
        <v>5</v>
      </c>
      <c r="N19" s="1428">
        <v>5</v>
      </c>
      <c r="O19" s="1428">
        <v>5</v>
      </c>
      <c r="P19" s="1474">
        <v>4</v>
      </c>
      <c r="Q19" s="1472">
        <v>2</v>
      </c>
      <c r="R19" s="1471">
        <v>0</v>
      </c>
      <c r="S19" s="1471">
        <v>0</v>
      </c>
      <c r="T19" s="1471">
        <v>0</v>
      </c>
      <c r="U19" s="1471">
        <v>0</v>
      </c>
      <c r="V19" s="1471">
        <v>0</v>
      </c>
      <c r="W19" s="1473">
        <v>1</v>
      </c>
      <c r="X19" s="1472">
        <v>3</v>
      </c>
      <c r="Y19" s="1471">
        <v>1</v>
      </c>
      <c r="Z19" s="1471">
        <v>1</v>
      </c>
      <c r="AA19" s="1471">
        <v>3</v>
      </c>
      <c r="AB19" s="1471">
        <v>2</v>
      </c>
      <c r="AC19" s="1471">
        <v>2</v>
      </c>
      <c r="AD19" s="1471">
        <v>1</v>
      </c>
      <c r="AE19" s="1458">
        <f>IF(B19="","",COUNTIF(C19:P19,"&gt;0"))</f>
        <v>14</v>
      </c>
      <c r="AF19" s="1470">
        <f>SUM(Q19:W19)</f>
        <v>3</v>
      </c>
      <c r="AG19" s="1470">
        <f>SUM(CQ19:CW19)</f>
        <v>21</v>
      </c>
      <c r="AH19" s="1469">
        <f ca="1">IF(AG19=0,"X",IF(AG19&lt;LARGE(AG$2:AG$70,1)/3,"NS",RAND()*0.00001+AF19/AG19))</f>
        <v>0.14286277537090811</v>
      </c>
      <c r="AI19" s="1470">
        <f>SUM(X19:AD19)</f>
        <v>13</v>
      </c>
      <c r="AJ19" s="1470">
        <f>SUM(CX19:DD19)</f>
        <v>21</v>
      </c>
      <c r="AK19" s="1469">
        <f ca="1">IF(AJ19=0,"X",IF(AJ19&lt;LARGE(AJ$2:AJ$70,1)/4,"NS",RAND()*0.00001+AI19/AJ19))</f>
        <v>0.61905735819368579</v>
      </c>
      <c r="AL19" s="1470">
        <f>SUM(Q19:AD19)</f>
        <v>16</v>
      </c>
      <c r="AM19" s="1470">
        <f>SUM(CQ19:DD19)</f>
        <v>42</v>
      </c>
      <c r="AN19" s="1469">
        <f ca="1">IF(AM19=0,"X",IF(AM19&lt;LARGE(AM$2:AM$70,1)/3,"NS",RAND()*0.00001+AL19/AM19))</f>
        <v>0.38095842103930616</v>
      </c>
      <c r="AO19" s="1437">
        <f ca="1">IF(B19="",10,B19+RAND()*0.01)</f>
        <v>5.0052422217264896</v>
      </c>
      <c r="AP19" s="1437">
        <f ca="1">IF(AND(C19="",J19=""),"e",IF(J19="",IF($BD$1&lt;=7,C19+RAND()*0.01,"e"),J19+RAND()*0.01))</f>
        <v>5.0017460994293321</v>
      </c>
      <c r="AQ19" s="1437">
        <f ca="1">IF(AND(D19="",K19=""),"e",IF(K19="",IF($BD$1&lt;=7,D19+RAND()*0.01,"e"),K19+RAND()*0.01))</f>
        <v>5.0047689290182689</v>
      </c>
      <c r="AR19" s="1437">
        <f ca="1">IF(AND(E19="",L19=""),"e",IF(L19="",IF($BD$1&lt;=7,E19+RAND()*0.01,"e"),L19+RAND()*0.01))</f>
        <v>3.0020665327615217</v>
      </c>
      <c r="AS19" s="1437">
        <f ca="1">IF(AND(F19="",M19=""),"e",IF(M19="",IF($BD$1&lt;=7,F19+RAND()*0.01,"e"),M19+RAND()*0.01))</f>
        <v>5.0031094204786095</v>
      </c>
      <c r="AT19" s="1437">
        <f ca="1">IF(AND(G19="",N19=""),"e",IF(N19="",IF($BD$1&lt;=7,G19+RAND()*0.01,"e"),N19+RAND()*0.01))</f>
        <v>5.0006565470380027</v>
      </c>
      <c r="AU19" s="1437">
        <f ca="1">IF(AND(H19="",O19=""),"e",IF(O19="",IF($BD$1&lt;=7,H19+RAND()*0.01,"e"),O19+RAND()*0.01))</f>
        <v>5.0099655964037311</v>
      </c>
      <c r="AV19" s="1437">
        <f ca="1">IF(AND(I19="",P19=""),"e",IF(P19="",IF($BD$1&lt;=7,I19+RAND()*0.01,"e"),P19+RAND()*0.01))</f>
        <v>4.006380709696888</v>
      </c>
      <c r="AW19" s="1437"/>
      <c r="AX19" s="1436" t="str">
        <f>A19</f>
        <v>Morin Léa</v>
      </c>
      <c r="AY19" s="1580" t="str">
        <f>IF(OR($H$2&gt;0,$H$3&gt;0,$H$4&gt;0,$H$5&gt;0,$H$6&gt;0,$H$7&gt;0,$H$8&gt;0,$H$2&gt;0),"",IF(COUNTIF(C19:H19,"")&gt;=5,"",IF(COUNTIF(C19:H19,SMALL(C19:H19,1))&gt;=2,SMALL(C19:H19,1),SMALL(C19:H19,2))))</f>
        <v/>
      </c>
      <c r="AZ19" s="1581">
        <f>IF(COUNTIF(J19:O19,"")&gt;=5,"",IF(COUNTIF(J19:O19,SMALL(J19:O19,1))&gt;=2,SMALL(J19:O19,1),SMALL(J19:O19,2)))</f>
        <v>5</v>
      </c>
      <c r="BA19" s="1401"/>
      <c r="BB19" s="1482" t="str">
        <f ca="1">IF(ROUND(BD19,0)=ROUND(BD18,0),"-",6)</f>
        <v>-</v>
      </c>
      <c r="BC19" s="1478" t="str">
        <f ca="1">IF($BD$1&lt;=7,[10]clt!U26,[10]clt!BO26)</f>
        <v>JA PLEUCADEUC 1</v>
      </c>
      <c r="BD19" s="1481">
        <f ca="1">IF($BD$1&lt;=7,[10]clt!V26,[10]clt!BP26)</f>
        <v>13.000072455365814</v>
      </c>
      <c r="BE19" s="1479">
        <f ca="1">IF($BD$1&lt;=7,[10]clt!W26,[10]clt!BQ26)</f>
        <v>7</v>
      </c>
      <c r="BF19" s="1479">
        <f ca="1">IF($BD$1&lt;=7,[10]clt!X26,[10]clt!BR26)</f>
        <v>3</v>
      </c>
      <c r="BG19" s="1480">
        <f ca="1">IF($BD$1&lt;=7,[10]clt!Y26,[10]clt!BS26)</f>
        <v>0</v>
      </c>
      <c r="BH19" s="1480">
        <f ca="1">IF($BD$1&lt;=7,[10]clt!Z26,[10]clt!BT26)</f>
        <v>4</v>
      </c>
      <c r="BI19" s="1479">
        <f ca="1">IF($BD$1&lt;=7,[10]clt!AA26,[10]clt!BU26)</f>
        <v>38</v>
      </c>
      <c r="BJ19" s="1479">
        <f ca="1">IF($BD$1&lt;=7,[10]clt!AB26,[10]clt!BV26)</f>
        <v>60</v>
      </c>
      <c r="BK19" s="1401"/>
      <c r="BL19" s="1511">
        <f ca="1">IF(ROUND(BN19,0)=ROUND(BN18,0),"-",6)</f>
        <v>6</v>
      </c>
      <c r="BM19" s="1510" t="str">
        <f ca="1">IF($BD$1&lt;=7,[10]clt!U35,[10]clt!BO35)</f>
        <v>AO ST-NOLFF 1</v>
      </c>
      <c r="BN19" s="1509">
        <f ca="1">IF($BD$1&lt;=7,[10]clt!V35,[10]clt!BP35)</f>
        <v>13.000034602274029</v>
      </c>
      <c r="BO19" s="1508">
        <f ca="1">IF($BD$1&lt;=7,[10]clt!W35,[10]clt!BQ35)</f>
        <v>7</v>
      </c>
      <c r="BP19" s="1508">
        <f ca="1">IF($BD$1&lt;=7,[10]clt!X35,[10]clt!BR35)</f>
        <v>3</v>
      </c>
      <c r="BQ19" s="1508">
        <f ca="1">IF($BD$1&lt;=7,[10]clt!Y35,[10]clt!BS35)</f>
        <v>0</v>
      </c>
      <c r="BR19" s="1508">
        <f ca="1">IF($BD$1&lt;=7,[10]clt!Z35,[10]clt!BT35)</f>
        <v>4</v>
      </c>
      <c r="BS19" s="1508">
        <f ca="1">IF($BD$1&lt;=7,[10]clt!AA35,[10]clt!BU35)</f>
        <v>45</v>
      </c>
      <c r="BT19" s="1508">
        <f ca="1">IF($BD$1&lt;=7,[10]clt!AB35,[10]clt!BV35)</f>
        <v>53</v>
      </c>
      <c r="BU19" s="1507"/>
      <c r="BV19" s="1506" t="str">
        <f ca="1">'[10]résultats commentaires'!L7</f>
        <v>4 joueurs ont disputé toutes les journées.</v>
      </c>
      <c r="BW19" s="1505"/>
      <c r="BX19" s="1504"/>
      <c r="BY19" s="561">
        <f ca="1">IF($BD$1&lt;=7,COUNTIF($C19:$I19,"1")+RAND()*0.0001,COUNTIF($J19:$P19,"1")+RAND()*0.0001)</f>
        <v>6.7533092476840847E-5</v>
      </c>
      <c r="BZ19" s="561" t="str">
        <f ca="1">IF(BY19&lt;1,"",AX19)</f>
        <v/>
      </c>
      <c r="CA19" s="561">
        <f ca="1">IF($BD$1&lt;=7,COUNTIF($C19:$I19,"2")+RAND()*0.0001,COUNTIF($J19:$P19,"2")+RAND()*0.0001)</f>
        <v>3.9435383049518216E-6</v>
      </c>
      <c r="CB19" s="561" t="str">
        <f ca="1">IF(CA19&lt;1,"",AX19)</f>
        <v/>
      </c>
      <c r="CC19" s="561">
        <f ca="1">IF($BD$1&lt;=7,COUNTIF($C19:$I19,"3")+RAND()*0.0001,COUNTIF($J19:$P19,"3")+RAND()*0.0001)</f>
        <v>1.0000929649316121</v>
      </c>
      <c r="CD19" s="561" t="str">
        <f ca="1">IF(CC19&lt;1,"",AX19)</f>
        <v>Morin Léa</v>
      </c>
      <c r="CE19" s="561">
        <f ca="1">IF($BD$1&lt;=7,COUNTIF($C19:$I19,"4")+RAND()*0.0001,COUNTIF($J19:$P19,"4")+RAND()*0.0001)</f>
        <v>1.000015989830654</v>
      </c>
      <c r="CF19" s="561" t="str">
        <f ca="1">IF(CE19&lt;1,"",AX19)</f>
        <v>Morin Léa</v>
      </c>
      <c r="CG19" s="561">
        <f ca="1">IF($BD$1&lt;=7,COUNTIF($C19:$I19,"5")+RAND()*0.0001,COUNTIF($J19:$P19,"5")+RAND()*0.0001)</f>
        <v>5.000023788286831</v>
      </c>
      <c r="CH19" s="561" t="str">
        <f ca="1">IF(CG19&lt;1,"",AX19)</f>
        <v>Morin Léa</v>
      </c>
      <c r="CI19" s="561">
        <f ca="1">IF($BD$1&lt;=7,COUNTIF($C19:$I19,"6")+RAND()*0.0001,COUNTIF($J19:$P19,"6")+RAND()*0.0001)</f>
        <v>6.6561085881119018E-5</v>
      </c>
      <c r="CJ19" s="561" t="str">
        <f ca="1">IF(CI19&lt;1,"",AX19)</f>
        <v/>
      </c>
      <c r="CK19" s="561">
        <f ca="1">IF($BD$1&lt;=7,COUNTIF($C19:$I19,"7")+RAND()*0.0001,COUNTIF($J19:$P19,"7")+RAND()*0.0001)</f>
        <v>9.6642269039339568E-5</v>
      </c>
      <c r="CL19" s="561" t="str">
        <f ca="1">IF(CK19&lt;1,"",AX19)</f>
        <v/>
      </c>
      <c r="CM19" s="561">
        <f ca="1">IF($BD$1&lt;=7,COUNTIF($C19:$I19,"8")+RAND()*0.0001,COUNTIF($J19:$P19,"8")+RAND()*0.0001)</f>
        <v>4.1885303376593923E-5</v>
      </c>
      <c r="CN19" s="561" t="str">
        <f ca="1">IF(CM19&lt;1,"",AX19)</f>
        <v/>
      </c>
      <c r="CO19" s="1482"/>
      <c r="CP19" s="1401">
        <f ca="1">AE19+RAND()*0.01</f>
        <v>14.00754978312599</v>
      </c>
      <c r="CQ19" s="1433">
        <f>VLOOKUP(C19,$CO$2:$DF$11,18,FALSE)</f>
        <v>3</v>
      </c>
      <c r="CR19" s="1433">
        <f>VLOOKUP(D19,$CO$2:$DF$11,18,FALSE)</f>
        <v>3</v>
      </c>
      <c r="CS19" s="1433">
        <f>VLOOKUP(E19,$CO$2:$DF$11,18,FALSE)</f>
        <v>3</v>
      </c>
      <c r="CT19" s="1433">
        <f>VLOOKUP(F19,$CO$2:$DF$11,18,FALSE)</f>
        <v>3</v>
      </c>
      <c r="CU19" s="1433">
        <f>VLOOKUP(G19,$CO$2:$DF$11,18,FALSE)</f>
        <v>3</v>
      </c>
      <c r="CV19" s="1433">
        <f>VLOOKUP(H19,$CO$2:$DF$11,18,FALSE)</f>
        <v>3</v>
      </c>
      <c r="CW19" s="1433">
        <f>VLOOKUP(I19,$CO$2:$DF$11,18,FALSE)</f>
        <v>3</v>
      </c>
      <c r="CX19" s="1433">
        <f>VLOOKUP(J19,$CO$2:$DF$11,18,FALSE)</f>
        <v>3</v>
      </c>
      <c r="CY19" s="1433">
        <f>VLOOKUP(K19,$CO$2:$DF$11,18,FALSE)</f>
        <v>3</v>
      </c>
      <c r="CZ19" s="1433">
        <f>VLOOKUP(L19,$CO$2:$DF$11,18,FALSE)</f>
        <v>3</v>
      </c>
      <c r="DA19" s="1433">
        <f>VLOOKUP(M19,$CO$2:$DF$11,18,FALSE)</f>
        <v>3</v>
      </c>
      <c r="DB19" s="1433">
        <f>VLOOKUP(N19,$CO$2:$DF$11,18,FALSE)</f>
        <v>3</v>
      </c>
      <c r="DC19" s="1433">
        <f>VLOOKUP(O19,$CO$2:$DF$11,18,FALSE)</f>
        <v>3</v>
      </c>
      <c r="DD19" s="1433">
        <f>VLOOKUP(P19,$CO$2:$DF$11,18,FALSE)</f>
        <v>3</v>
      </c>
      <c r="DE19" s="1432">
        <f ca="1">IF(AND(DI19=0,A19=""),AL19,IF(DI19=0,AL19+VLOOKUP(AX19,[10]Critérium!$AC$49:$DE$100,81,FALSE),AL19+VLOOKUP(AX19,[10]Critérium!$B$6:$T$22,19,FALSE)+VLOOKUP(AX19,[10]Critérium!$AC$49:$DE$100,81,FALSE)))</f>
        <v>42</v>
      </c>
      <c r="DF19" s="1431"/>
      <c r="DG19" s="1429">
        <f ca="1">IF(AND(DI19=0,A19=""),AM19,IF(DI19=0,AM19+VLOOKUP(AX19,[10]Critérium!$AC$49:$DH$100,84,FALSE),AM19+VLOOKUP(AX19,[10]Critérium!$B$6:$V$22,21,FALSE)+VLOOKUP(AX19,[10]Critérium!$AC$49:$DH$100,84,FALSE)))</f>
        <v>100</v>
      </c>
      <c r="DH19" s="1430">
        <f ca="1">IF(DG19=0,0,(DE19/DG19+RAND()*0.0001))</f>
        <v>0.42008366301860051</v>
      </c>
      <c r="DI19" s="1429" t="str">
        <f>VLOOKUP(AX19,[10]liste!AN:AR,5,FALSE)</f>
        <v>x</v>
      </c>
      <c r="DJ19" s="1427">
        <f ca="1">DG19+RAND()</f>
        <v>100.76396068164981</v>
      </c>
      <c r="DK19" s="1427" t="str">
        <f>A19</f>
        <v>Morin Léa</v>
      </c>
      <c r="DL19" s="1427"/>
      <c r="DM19" s="1428">
        <f>HLOOKUP($DM$1,$C$1:$P$70,19,FALSE)</f>
        <v>4</v>
      </c>
      <c r="DN19" s="1428">
        <f>HLOOKUP($DN$1,$Q$1:$AD$70,19,FALSE)</f>
        <v>1</v>
      </c>
      <c r="DO19" s="1401"/>
      <c r="DP19" s="1401"/>
      <c r="DQ19" s="1401"/>
      <c r="DR19" s="1400">
        <f>IF(SUM(C19:P19)=0,0,(AE19*10/SUM(C19:P19)/2)*AE19/21)</f>
        <v>0.53030303030303028</v>
      </c>
      <c r="DT19" s="1513"/>
      <c r="DU19" s="1513"/>
      <c r="DV19" s="1513"/>
      <c r="DW19" s="1513"/>
      <c r="DX19" s="1513"/>
      <c r="DY19" s="1513"/>
      <c r="DZ19" s="1513"/>
      <c r="EA19" s="1513"/>
    </row>
    <row r="20" spans="1:173" s="1427" customFormat="1" ht="21.95" customHeight="1">
      <c r="A20" s="1477" t="str">
        <f>[10]points!B49</f>
        <v>Allano Antoine</v>
      </c>
      <c r="B20" s="1476">
        <v>5</v>
      </c>
      <c r="C20" s="1428">
        <v>6</v>
      </c>
      <c r="D20" s="1428">
        <v>6</v>
      </c>
      <c r="E20" s="1428">
        <v>6</v>
      </c>
      <c r="F20" s="1428">
        <v>6</v>
      </c>
      <c r="G20" s="1428"/>
      <c r="H20" s="1428">
        <v>6</v>
      </c>
      <c r="I20" s="1475"/>
      <c r="J20" s="1428">
        <v>5</v>
      </c>
      <c r="K20" s="1428">
        <v>5</v>
      </c>
      <c r="L20" s="1428">
        <v>5</v>
      </c>
      <c r="M20" s="1428">
        <v>5</v>
      </c>
      <c r="N20" s="1428"/>
      <c r="O20" s="1428">
        <v>5</v>
      </c>
      <c r="P20" s="1474">
        <v>5</v>
      </c>
      <c r="Q20" s="1472">
        <v>2</v>
      </c>
      <c r="R20" s="1471">
        <v>3</v>
      </c>
      <c r="S20" s="1471">
        <v>3</v>
      </c>
      <c r="T20" s="1471">
        <v>2</v>
      </c>
      <c r="U20" s="1471"/>
      <c r="V20" s="1471">
        <v>1</v>
      </c>
      <c r="W20" s="1473"/>
      <c r="X20" s="1472">
        <v>2</v>
      </c>
      <c r="Y20" s="1471">
        <v>0</v>
      </c>
      <c r="Z20" s="1471">
        <v>0</v>
      </c>
      <c r="AA20" s="1471">
        <v>1</v>
      </c>
      <c r="AB20" s="1471"/>
      <c r="AC20" s="1471">
        <v>2</v>
      </c>
      <c r="AD20" s="1471">
        <v>1</v>
      </c>
      <c r="AE20" s="1458">
        <f>IF(B20="","",COUNTIF(C20:P20,"&gt;0"))</f>
        <v>11</v>
      </c>
      <c r="AF20" s="1470">
        <f>SUM(Q20:W20)</f>
        <v>11</v>
      </c>
      <c r="AG20" s="1470">
        <f>SUM(CQ20:CW20)</f>
        <v>15</v>
      </c>
      <c r="AH20" s="1469">
        <f ca="1">IF(AG20=0,"X",IF(AG20&lt;LARGE(AG$2:AG$70,1)/3,"NS",RAND()*0.00001+AF20/AG20))</f>
        <v>0.73334098629257294</v>
      </c>
      <c r="AI20" s="1470">
        <f>SUM(X20:AD20)</f>
        <v>6</v>
      </c>
      <c r="AJ20" s="1470">
        <f>SUM(CX20:DD20)</f>
        <v>18</v>
      </c>
      <c r="AK20" s="1469">
        <f ca="1">IF(AJ20=0,"X",IF(AJ20&lt;LARGE(AJ$2:AJ$70,1)/4,"NS",RAND()*0.00001+AI20/AJ20))</f>
        <v>0.33333503758745425</v>
      </c>
      <c r="AL20" s="1470">
        <f>SUM(Q20:AD20)</f>
        <v>17</v>
      </c>
      <c r="AM20" s="1470">
        <f>SUM(CQ20:DD20)</f>
        <v>33</v>
      </c>
      <c r="AN20" s="1469">
        <f ca="1">IF(AM20=0,"X",IF(AM20&lt;LARGE(AM$2:AM$70,1)/3,"NS",RAND()*0.00001+AL20/AM20))</f>
        <v>0.51515599486687658</v>
      </c>
      <c r="AO20" s="1437">
        <f ca="1">IF(B20="",10,B20+RAND()*0.01)</f>
        <v>5.0001950582816894</v>
      </c>
      <c r="AP20" s="1437">
        <f ca="1">IF(AND(C20="",J20=""),"e",IF(J20="",IF($BD$1&lt;=7,C20+RAND()*0.01,"e"),J20+RAND()*0.01))</f>
        <v>5.0076928939011003</v>
      </c>
      <c r="AQ20" s="1437">
        <f ca="1">IF(AND(D20="",K20=""),"e",IF(K20="",IF($BD$1&lt;=7,D20+RAND()*0.01,"e"),K20+RAND()*0.01))</f>
        <v>5.0015941368970642</v>
      </c>
      <c r="AR20" s="1437">
        <f ca="1">IF(AND(E20="",L20=""),"e",IF(L20="",IF($BD$1&lt;=7,E20+RAND()*0.01,"e"),L20+RAND()*0.01))</f>
        <v>5.0036615634923551</v>
      </c>
      <c r="AS20" s="1437">
        <f ca="1">IF(AND(F20="",M20=""),"e",IF(M20="",IF($BD$1&lt;=7,F20+RAND()*0.01,"e"),M20+RAND()*0.01))</f>
        <v>5.0024839992501846</v>
      </c>
      <c r="AT20" s="1437" t="str">
        <f ca="1">IF(AND(G20="",N20=""),"e",IF(N20="",IF($BD$1&lt;=7,G20+RAND()*0.01,"e"),N20+RAND()*0.01))</f>
        <v>e</v>
      </c>
      <c r="AU20" s="1437">
        <f ca="1">IF(AND(H20="",O20=""),"e",IF(O20="",IF($BD$1&lt;=7,H20+RAND()*0.01,"e"),O20+RAND()*0.01))</f>
        <v>5.0029895911931153</v>
      </c>
      <c r="AV20" s="1437">
        <f ca="1">IF(AND(I20="",P20=""),"e",IF(P20="",IF($BD$1&lt;=7,I20+RAND()*0.01,"e"),P20+RAND()*0.01))</f>
        <v>5.001433037264551</v>
      </c>
      <c r="AW20" s="1437"/>
      <c r="AX20" s="1436" t="str">
        <f>A20</f>
        <v>Allano Antoine</v>
      </c>
      <c r="AY20" s="1580" t="str">
        <f>IF(OR($H$2&gt;0,$H$3&gt;0,$H$4&gt;0,$H$5&gt;0,$H$6&gt;0,$H$7&gt;0,$H$8&gt;0,$H$2&gt;0),"",IF(COUNTIF(C20:H20,"")&gt;=5,"",IF(COUNTIF(C20:H20,SMALL(C20:H20,1))&gt;=2,SMALL(C20:H20,1),SMALL(C20:H20,2))))</f>
        <v/>
      </c>
      <c r="AZ20" s="1581">
        <f>IF(COUNTIF(J20:O20,"")&gt;=5,"",IF(COUNTIF(J20:O20,SMALL(J20:O20,1))&gt;=2,SMALL(J20:O20,1),SMALL(J20:O20,2)))</f>
        <v>5</v>
      </c>
      <c r="BA20" s="1401"/>
      <c r="BB20" s="1512">
        <f ca="1">IF(ROUND(BD20,0)=ROUND(BD19,0),"-",7)</f>
        <v>7</v>
      </c>
      <c r="BC20" s="1478" t="str">
        <f ca="1">IF($BD$1&lt;=7,[10]clt!U27,[10]clt!BO27)</f>
        <v>ARGOET STT 1</v>
      </c>
      <c r="BD20" s="1481">
        <f ca="1">IF($BD$1&lt;=7,[10]clt!V27,[10]clt!BP27)</f>
        <v>10.000038630929819</v>
      </c>
      <c r="BE20" s="1508">
        <f ca="1">IF($BD$1&lt;=7,[10]clt!W27,[10]clt!BQ27)</f>
        <v>7</v>
      </c>
      <c r="BF20" s="1508">
        <f ca="1">IF($BD$1&lt;=7,[10]clt!X27,[10]clt!BR27)</f>
        <v>1</v>
      </c>
      <c r="BG20" s="1480">
        <f ca="1">IF($BD$1&lt;=7,[10]clt!Y27,[10]clt!BS27)</f>
        <v>1</v>
      </c>
      <c r="BH20" s="1480">
        <f ca="1">IF($BD$1&lt;=7,[10]clt!Z27,[10]clt!BT27)</f>
        <v>5</v>
      </c>
      <c r="BI20" s="1508">
        <f ca="1">IF($BD$1&lt;=7,[10]clt!AA27,[10]clt!BU27)</f>
        <v>40</v>
      </c>
      <c r="BJ20" s="1508">
        <f ca="1">IF($BD$1&lt;=7,[10]clt!AB27,[10]clt!BV27)</f>
        <v>58</v>
      </c>
      <c r="BK20" s="1461"/>
      <c r="BL20" s="1511">
        <f ca="1">IF(ROUND(BN20,0)=ROUND(BN19,0),"-",7)</f>
        <v>7</v>
      </c>
      <c r="BM20" s="1510" t="str">
        <f ca="1">IF($BD$1&lt;=7,[10]clt!U36,[10]clt!BO36)</f>
        <v>MUZILLAC TT 4</v>
      </c>
      <c r="BN20" s="1509">
        <f ca="1">IF($BD$1&lt;=7,[10]clt!V36,[10]clt!BP36)</f>
        <v>12.000071735061708</v>
      </c>
      <c r="BO20" s="1508">
        <f ca="1">IF($BD$1&lt;=7,[10]clt!W36,[10]clt!BQ36)</f>
        <v>7</v>
      </c>
      <c r="BP20" s="1508">
        <f ca="1">IF($BD$1&lt;=7,[10]clt!X36,[10]clt!BR36)</f>
        <v>2</v>
      </c>
      <c r="BQ20" s="1508">
        <f ca="1">IF($BD$1&lt;=7,[10]clt!Y36,[10]clt!BS36)</f>
        <v>1</v>
      </c>
      <c r="BR20" s="1508">
        <f ca="1">IF($BD$1&lt;=7,[10]clt!Z36,[10]clt!BT36)</f>
        <v>4</v>
      </c>
      <c r="BS20" s="1508">
        <f ca="1">IF($BD$1&lt;=7,[10]clt!AA36,[10]clt!BU36)</f>
        <v>51</v>
      </c>
      <c r="BT20" s="1508">
        <f ca="1">IF($BD$1&lt;=7,[10]clt!AB36,[10]clt!BV36)</f>
        <v>47</v>
      </c>
      <c r="BU20" s="1507"/>
      <c r="BV20" s="1506" t="str">
        <f>'[10]résultats commentaires'!L8</f>
        <v>42 joueurs ont participé au moins à une rencontre.</v>
      </c>
      <c r="BW20" s="1505"/>
      <c r="BX20" s="1504"/>
      <c r="BY20" s="561">
        <f ca="1">IF($BD$1&lt;=7,COUNTIF($C20:$I20,"1")+RAND()*0.0001,COUNTIF($J20:$P20,"1")+RAND()*0.0001)</f>
        <v>8.9435790679551373E-5</v>
      </c>
      <c r="BZ20" s="561" t="str">
        <f ca="1">IF(BY20&lt;1,"",AX20)</f>
        <v/>
      </c>
      <c r="CA20" s="561">
        <f ca="1">IF($BD$1&lt;=7,COUNTIF($C20:$I20,"2")+RAND()*0.0001,COUNTIF($J20:$P20,"2")+RAND()*0.0001)</f>
        <v>9.6064915984582407E-5</v>
      </c>
      <c r="CB20" s="561" t="str">
        <f ca="1">IF(CA20&lt;1,"",AX20)</f>
        <v/>
      </c>
      <c r="CC20" s="561">
        <f ca="1">IF($BD$1&lt;=7,COUNTIF($C20:$I20,"3")+RAND()*0.0001,COUNTIF($J20:$P20,"3")+RAND()*0.0001)</f>
        <v>1.7158225175440513E-5</v>
      </c>
      <c r="CD20" s="561" t="str">
        <f ca="1">IF(CC20&lt;1,"",AX20)</f>
        <v/>
      </c>
      <c r="CE20" s="561">
        <f ca="1">IF($BD$1&lt;=7,COUNTIF($C20:$I20,"4")+RAND()*0.0001,COUNTIF($J20:$P20,"4")+RAND()*0.0001)</f>
        <v>1.0836656086318319E-5</v>
      </c>
      <c r="CF20" s="561" t="str">
        <f ca="1">IF(CE20&lt;1,"",AX20)</f>
        <v/>
      </c>
      <c r="CG20" s="561">
        <f ca="1">IF($BD$1&lt;=7,COUNTIF($C20:$I20,"5")+RAND()*0.0001,COUNTIF($J20:$P20,"5")+RAND()*0.0001)</f>
        <v>6.000052373690627</v>
      </c>
      <c r="CH20" s="561" t="str">
        <f ca="1">IF(CG20&lt;1,"",AX20)</f>
        <v>Allano Antoine</v>
      </c>
      <c r="CI20" s="561">
        <f ca="1">IF($BD$1&lt;=7,COUNTIF($C20:$I20,"6")+RAND()*0.0001,COUNTIF($J20:$P20,"6")+RAND()*0.0001)</f>
        <v>2.4530681014863057E-5</v>
      </c>
      <c r="CJ20" s="561" t="str">
        <f ca="1">IF(CI20&lt;1,"",AX20)</f>
        <v/>
      </c>
      <c r="CK20" s="561">
        <f ca="1">IF($BD$1&lt;=7,COUNTIF($C20:$I20,"7")+RAND()*0.0001,COUNTIF($J20:$P20,"7")+RAND()*0.0001)</f>
        <v>3.4416918166959181E-5</v>
      </c>
      <c r="CL20" s="561" t="str">
        <f ca="1">IF(CK20&lt;1,"",AX20)</f>
        <v/>
      </c>
      <c r="CM20" s="561">
        <f ca="1">IF($BD$1&lt;=7,COUNTIF($C20:$I20,"8")+RAND()*0.0001,COUNTIF($J20:$P20,"8")+RAND()*0.0001)</f>
        <v>7.6068319838852862E-5</v>
      </c>
      <c r="CN20" s="561" t="str">
        <f ca="1">IF(CM20&lt;1,"",AX20)</f>
        <v/>
      </c>
      <c r="CO20" s="1482"/>
      <c r="CP20" s="1401">
        <f ca="1">AE20+RAND()*0.01</f>
        <v>11.009320354824901</v>
      </c>
      <c r="CQ20" s="1433">
        <f>VLOOKUP(C20,$CO$2:$DF$11,18,FALSE)</f>
        <v>3</v>
      </c>
      <c r="CR20" s="1433">
        <f>VLOOKUP(D20,$CO$2:$DF$11,18,FALSE)</f>
        <v>3</v>
      </c>
      <c r="CS20" s="1433">
        <f>VLOOKUP(E20,$CO$2:$DF$11,18,FALSE)</f>
        <v>3</v>
      </c>
      <c r="CT20" s="1433">
        <f>VLOOKUP(F20,$CO$2:$DF$11,18,FALSE)</f>
        <v>3</v>
      </c>
      <c r="CU20" s="1433">
        <f>VLOOKUP(G20,$CO$2:$DF$11,18,FALSE)</f>
        <v>0</v>
      </c>
      <c r="CV20" s="1433">
        <f>VLOOKUP(H20,$CO$2:$DF$11,18,FALSE)</f>
        <v>3</v>
      </c>
      <c r="CW20" s="1433">
        <f>VLOOKUP(I20,$CO$2:$DF$11,18,FALSE)</f>
        <v>0</v>
      </c>
      <c r="CX20" s="1433">
        <f>VLOOKUP(J20,$CO$2:$DF$11,18,FALSE)</f>
        <v>3</v>
      </c>
      <c r="CY20" s="1433">
        <f>VLOOKUP(K20,$CO$2:$DF$11,18,FALSE)</f>
        <v>3</v>
      </c>
      <c r="CZ20" s="1433">
        <f>VLOOKUP(L20,$CO$2:$DF$11,18,FALSE)</f>
        <v>3</v>
      </c>
      <c r="DA20" s="1433">
        <f>VLOOKUP(M20,$CO$2:$DF$11,18,FALSE)</f>
        <v>3</v>
      </c>
      <c r="DB20" s="1433">
        <f>VLOOKUP(N20,$CO$2:$DF$11,18,FALSE)</f>
        <v>0</v>
      </c>
      <c r="DC20" s="1433">
        <f>VLOOKUP(O20,$CO$2:$DF$11,18,FALSE)</f>
        <v>3</v>
      </c>
      <c r="DD20" s="1433">
        <f>VLOOKUP(P20,$CO$2:$DF$11,18,FALSE)</f>
        <v>3</v>
      </c>
      <c r="DE20" s="1432">
        <f ca="1">IF(AND(DI20=0,A20=""),AL20,IF(DI20=0,AL20+VLOOKUP(AX20,[10]Critérium!$AC$49:$DE$100,81,FALSE),AL20+VLOOKUP(AX20,[10]Critérium!$B$6:$T$22,19,FALSE)+VLOOKUP(AX20,[10]Critérium!$AC$49:$DE$100,81,FALSE)))</f>
        <v>28</v>
      </c>
      <c r="DF20" s="1431"/>
      <c r="DG20" s="1429">
        <f ca="1">IF(AND(DI20=0,A20=""),AM20,IF(DI20=0,AM20+VLOOKUP(AX20,[10]Critérium!$AC$49:$DH$100,84,FALSE),AM20+VLOOKUP(AX20,[10]Critérium!$B$6:$V$22,21,FALSE)+VLOOKUP(AX20,[10]Critérium!$AC$49:$DH$100,84,FALSE)))</f>
        <v>57</v>
      </c>
      <c r="DH20" s="1430">
        <f ca="1">IF(DG20=0,0,(DE20/DG20+RAND()*0.0001))</f>
        <v>0.49127912860745304</v>
      </c>
      <c r="DI20" s="1429" t="str">
        <f>VLOOKUP(AX20,[10]liste!AN:AR,5,FALSE)</f>
        <v>x</v>
      </c>
      <c r="DJ20" s="1427">
        <f ca="1">DG20+RAND()</f>
        <v>57.204680721944918</v>
      </c>
      <c r="DK20" s="1427" t="str">
        <f>A20</f>
        <v>Allano Antoine</v>
      </c>
      <c r="DM20" s="1428">
        <f>HLOOKUP($DM$1,$C$1:$P$70,20,FALSE)</f>
        <v>5</v>
      </c>
      <c r="DN20" s="1428">
        <f>HLOOKUP($DN$1,$Q$1:$AD$70,20,FALSE)</f>
        <v>1</v>
      </c>
      <c r="DO20" s="1401"/>
      <c r="DP20" s="1401"/>
      <c r="DQ20" s="1401"/>
      <c r="DR20" s="1400">
        <f>IF(SUM(C20:P20)=0,0,(AE20*10/SUM(C20:P20)/2)*AE20/21)</f>
        <v>0.48015873015873012</v>
      </c>
      <c r="DT20" s="1444"/>
      <c r="DU20" s="1444"/>
      <c r="DV20" s="1444"/>
      <c r="DW20" s="1444"/>
      <c r="DX20" s="1444"/>
      <c r="DY20" s="1444"/>
      <c r="DZ20" s="1444"/>
      <c r="EA20" s="1444"/>
    </row>
    <row r="21" spans="1:173" s="1426" customFormat="1" ht="21.95" customHeight="1">
      <c r="A21" s="1500" t="str">
        <f>[10]points!B50</f>
        <v>Le Cam Alan</v>
      </c>
      <c r="B21" s="1499">
        <v>5</v>
      </c>
      <c r="C21" s="1497"/>
      <c r="D21" s="1497">
        <v>6</v>
      </c>
      <c r="E21" s="1497"/>
      <c r="F21" s="1497">
        <v>6</v>
      </c>
      <c r="G21" s="1497"/>
      <c r="H21" s="1497">
        <v>6</v>
      </c>
      <c r="I21" s="1498">
        <v>6</v>
      </c>
      <c r="J21" s="1497">
        <v>5</v>
      </c>
      <c r="K21" s="1497">
        <v>5</v>
      </c>
      <c r="L21" s="1497">
        <v>5</v>
      </c>
      <c r="M21" s="1497"/>
      <c r="N21" s="1497">
        <v>5</v>
      </c>
      <c r="O21" s="1497">
        <v>5</v>
      </c>
      <c r="P21" s="1496">
        <v>5</v>
      </c>
      <c r="Q21" s="1494"/>
      <c r="R21" s="1493">
        <v>2</v>
      </c>
      <c r="S21" s="1493"/>
      <c r="T21" s="1493">
        <v>3</v>
      </c>
      <c r="U21" s="1493"/>
      <c r="V21" s="1493">
        <v>3</v>
      </c>
      <c r="W21" s="1495">
        <v>3</v>
      </c>
      <c r="X21" s="1494">
        <v>3</v>
      </c>
      <c r="Y21" s="1493">
        <v>0</v>
      </c>
      <c r="Z21" s="1493">
        <v>0</v>
      </c>
      <c r="AA21" s="1493"/>
      <c r="AB21" s="1493">
        <v>2</v>
      </c>
      <c r="AC21" s="1493">
        <v>2</v>
      </c>
      <c r="AD21" s="1493">
        <v>0</v>
      </c>
      <c r="AE21" s="1492">
        <f>IF(B21="","",COUNTIF(C21:P21,"&gt;0"))</f>
        <v>10</v>
      </c>
      <c r="AF21" s="1490">
        <f>SUM(Q21:W21)</f>
        <v>11</v>
      </c>
      <c r="AG21" s="1470">
        <f>SUM(CQ21:CW21)</f>
        <v>12</v>
      </c>
      <c r="AH21" s="1469">
        <f ca="1">IF(AG21=0,"X",IF(AG21&lt;LARGE(AG$2:AG$70,1)/3,"NS",RAND()*0.00001+AF21/AG21))</f>
        <v>0.91667605328211788</v>
      </c>
      <c r="AI21" s="1490">
        <f>SUM(X21:AD21)</f>
        <v>7</v>
      </c>
      <c r="AJ21" s="1490">
        <f>SUM(CX21:DD21)</f>
        <v>18</v>
      </c>
      <c r="AK21" s="1491">
        <f ca="1">IF(AJ21=0,"X",IF(AJ21&lt;LARGE(AJ$2:AJ$70,1)/4,"NS",RAND()*0.00001+AI21/AJ21))</f>
        <v>0.38888899677409688</v>
      </c>
      <c r="AL21" s="1490">
        <f>SUM(Q21:AD21)</f>
        <v>18</v>
      </c>
      <c r="AM21" s="1490">
        <f>SUM(CQ21:DD21)</f>
        <v>30</v>
      </c>
      <c r="AN21" s="1469">
        <f ca="1">IF(AM21=0,"X",IF(AM21&lt;LARGE(AM$2:AM$70,1)/3,"NS",RAND()*0.00001+AL21/AM21))</f>
        <v>0.60000993458356378</v>
      </c>
      <c r="AO21" s="1437">
        <f ca="1">IF(B21="",10,B21+RAND()*0.01)</f>
        <v>5.0027273871013849</v>
      </c>
      <c r="AP21" s="1437">
        <f ca="1">IF(AND(C21="",J21=""),"e",IF(J21="",IF($BD$1&lt;=7,C21+RAND()*0.01,"e"),J21+RAND()*0.01))</f>
        <v>5.0054022822762061</v>
      </c>
      <c r="AQ21" s="1437">
        <f ca="1">IF(AND(D21="",K21=""),"e",IF(K21="",IF($BD$1&lt;=7,D21+RAND()*0.01,"e"),K21+RAND()*0.01))</f>
        <v>5.0016610386796696</v>
      </c>
      <c r="AR21" s="1437">
        <f ca="1">IF(AND(E21="",L21=""),"e",IF(L21="",IF($BD$1&lt;=7,E21+RAND()*0.01,"e"),L21+RAND()*0.01))</f>
        <v>5.008042596391201</v>
      </c>
      <c r="AS21" s="1437" t="str">
        <f ca="1">IF(AND(F21="",M21=""),"e",IF(M21="",IF($BD$1&lt;=7,F21+RAND()*0.01,"e"),M21+RAND()*0.01))</f>
        <v>e</v>
      </c>
      <c r="AT21" s="1437">
        <f ca="1">IF(AND(G21="",N21=""),"e",IF(N21="",IF($BD$1&lt;=7,G21+RAND()*0.01,"e"),N21+RAND()*0.01))</f>
        <v>5.0020621445364704</v>
      </c>
      <c r="AU21" s="1437">
        <f ca="1">IF(AND(H21="",O21=""),"e",IF(O21="",IF($BD$1&lt;=7,H21+RAND()*0.01,"e"),O21+RAND()*0.01))</f>
        <v>5.0092361551010649</v>
      </c>
      <c r="AV21" s="1437">
        <f ca="1">IF(AND(I21="",P21=""),"e",IF(P21="",IF($BD$1&lt;=7,I21+RAND()*0.01,"e"),P21+RAND()*0.01))</f>
        <v>5.0006095317417198</v>
      </c>
      <c r="AW21" s="1437"/>
      <c r="AX21" s="1436" t="str">
        <f>A21</f>
        <v>Le Cam Alan</v>
      </c>
      <c r="AY21" s="1580" t="str">
        <f>IF(OR($H$2&gt;0,$H$3&gt;0,$H$4&gt;0,$H$5&gt;0,$H$6&gt;0,$H$7&gt;0,$H$8&gt;0,$H$2&gt;0),"",IF(COUNTIF(C21:H21,"")&gt;=5,"",IF(COUNTIF(C21:H21,SMALL(C21:H21,1))&gt;=2,SMALL(C21:H21,1),SMALL(C21:H21,2))))</f>
        <v/>
      </c>
      <c r="AZ21" s="1581">
        <f>IF(COUNTIF(J21:O21,"")&gt;=5,"",IF(COUNTIF(J21:O21,SMALL(J21:O21,1))&gt;=2,SMALL(J21:O21,1),SMALL(J21:O21,2)))</f>
        <v>5</v>
      </c>
      <c r="BA21" s="1427"/>
      <c r="BB21" s="1512">
        <f ca="1">IF(BC21="exempt","",IF(ROUND(BD21,0)=ROUND(BD20,0),"-",8))</f>
        <v>8</v>
      </c>
      <c r="BC21" s="1478" t="str">
        <f ca="1">IF($BD$1&lt;=7,[10]clt!U28,[10]clt!BO28)</f>
        <v>ASPTT VANNES 6</v>
      </c>
      <c r="BD21" s="1481">
        <f ca="1">IF($BD$1&lt;=7,[10]clt!V28,[10]clt!BP28)</f>
        <v>7.0000044224188889</v>
      </c>
      <c r="BE21" s="1508">
        <f ca="1">IF($BD$1&lt;=7,[10]clt!W28,[10]clt!BQ28)</f>
        <v>7</v>
      </c>
      <c r="BF21" s="1508">
        <f ca="1">IF($BD$1&lt;=7,[10]clt!X28,[10]clt!BR28)</f>
        <v>0</v>
      </c>
      <c r="BG21" s="1480">
        <f ca="1">IF($BD$1&lt;=7,[10]clt!Y28,[10]clt!BS28)</f>
        <v>0</v>
      </c>
      <c r="BH21" s="1480">
        <f ca="1">IF($BD$1&lt;=7,[10]clt!Z28,[10]clt!BT28)</f>
        <v>7</v>
      </c>
      <c r="BI21" s="1508">
        <f ca="1">IF($BD$1&lt;=7,[10]clt!AA28,[10]clt!BU28)</f>
        <v>17</v>
      </c>
      <c r="BJ21" s="1508">
        <f ca="1">IF($BD$1&lt;=7,[10]clt!AB28,[10]clt!BV28)</f>
        <v>81</v>
      </c>
      <c r="BK21" s="1400"/>
      <c r="BL21" s="1511">
        <f ca="1">IF(BM21="exempt","",IF(ROUND(BN21,0)=ROUND(BN20,0),"-",8))</f>
        <v>8</v>
      </c>
      <c r="BM21" s="1510" t="str">
        <f ca="1">IF($BD$1&lt;=7,[10]clt!U37,[10]clt!BO37)</f>
        <v>RAQ GUEGON 1</v>
      </c>
      <c r="BN21" s="1509">
        <f ca="1">IF($BD$1&lt;=7,[10]clt!V37,[10]clt!BP37)</f>
        <v>11.000097049197528</v>
      </c>
      <c r="BO21" s="1508">
        <f ca="1">IF($BD$1&lt;=7,[10]clt!W37,[10]clt!BQ37)</f>
        <v>7</v>
      </c>
      <c r="BP21" s="1508">
        <f ca="1">IF($BD$1&lt;=7,[10]clt!X37,[10]clt!BR37)</f>
        <v>2</v>
      </c>
      <c r="BQ21" s="1508">
        <f ca="1">IF($BD$1&lt;=7,[10]clt!Y37,[10]clt!BS37)</f>
        <v>0</v>
      </c>
      <c r="BR21" s="1508">
        <f ca="1">IF($BD$1&lt;=7,[10]clt!Z37,[10]clt!BT37)</f>
        <v>5</v>
      </c>
      <c r="BS21" s="1508">
        <f ca="1">IF($BD$1&lt;=7,[10]clt!AA37,[10]clt!BU37)</f>
        <v>35</v>
      </c>
      <c r="BT21" s="1508">
        <f ca="1">IF($BD$1&lt;=7,[10]clt!AB37,[10]clt!BV37)</f>
        <v>63</v>
      </c>
      <c r="BU21" s="1507"/>
      <c r="BV21" s="1506"/>
      <c r="BW21" s="1505"/>
      <c r="BX21" s="1504"/>
      <c r="BY21" s="561">
        <f ca="1">IF($BD$1&lt;=7,COUNTIF($C21:$I21,"1")+RAND()*0.0001,COUNTIF($J21:$P21,"1")+RAND()*0.0001)</f>
        <v>2.727179956352941E-5</v>
      </c>
      <c r="BZ21" s="561" t="str">
        <f ca="1">IF(BY21&lt;1,"",AX21)</f>
        <v/>
      </c>
      <c r="CA21" s="561">
        <f ca="1">IF($BD$1&lt;=7,COUNTIF($C21:$I21,"2")+RAND()*0.0001,COUNTIF($J21:$P21,"2")+RAND()*0.0001)</f>
        <v>8.3986449526125611E-5</v>
      </c>
      <c r="CB21" s="561" t="str">
        <f ca="1">IF(CA21&lt;1,"",AX21)</f>
        <v/>
      </c>
      <c r="CC21" s="561">
        <f ca="1">IF($BD$1&lt;=7,COUNTIF($C21:$I21,"3")+RAND()*0.0001,COUNTIF($J21:$P21,"3")+RAND()*0.0001)</f>
        <v>9.7599052499735284E-5</v>
      </c>
      <c r="CD21" s="561" t="str">
        <f ca="1">IF(CC21&lt;1,"",AX21)</f>
        <v/>
      </c>
      <c r="CE21" s="561">
        <f ca="1">IF($BD$1&lt;=7,COUNTIF($C21:$I21,"4")+RAND()*0.0001,COUNTIF($J21:$P21,"4")+RAND()*0.0001)</f>
        <v>8.371389075359056E-5</v>
      </c>
      <c r="CF21" s="561" t="str">
        <f ca="1">IF(CE21&lt;1,"",AX21)</f>
        <v/>
      </c>
      <c r="CG21" s="561">
        <f ca="1">IF($BD$1&lt;=7,COUNTIF($C21:$I21,"5")+RAND()*0.0001,COUNTIF($J21:$P21,"5")+RAND()*0.0001)</f>
        <v>6.0000032902661768</v>
      </c>
      <c r="CH21" s="561" t="str">
        <f ca="1">IF(CG21&lt;1,"",AX21)</f>
        <v>Le Cam Alan</v>
      </c>
      <c r="CI21" s="561">
        <f ca="1">IF($BD$1&lt;=7,COUNTIF($C21:$I21,"6")+RAND()*0.0001,COUNTIF($J21:$P21,"6")+RAND()*0.0001)</f>
        <v>6.3281423949877895E-5</v>
      </c>
      <c r="CJ21" s="561" t="str">
        <f ca="1">IF(CI21&lt;1,"",AX21)</f>
        <v/>
      </c>
      <c r="CK21" s="561">
        <f ca="1">IF($BD$1&lt;=7,COUNTIF($C21:$I21,"7")+RAND()*0.0001,COUNTIF($J21:$P21,"7")+RAND()*0.0001)</f>
        <v>4.737648339690016E-5</v>
      </c>
      <c r="CL21" s="561" t="str">
        <f ca="1">IF(CK21&lt;1,"",AX21)</f>
        <v/>
      </c>
      <c r="CM21" s="561">
        <f ca="1">IF($BD$1&lt;=7,COUNTIF($C21:$I21,"8")+RAND()*0.0001,COUNTIF($J21:$P21,"8")+RAND()*0.0001)</f>
        <v>2.4604285577546959E-5</v>
      </c>
      <c r="CN21" s="561" t="str">
        <f ca="1">IF(CM21&lt;1,"",AX21)</f>
        <v/>
      </c>
      <c r="CO21" s="1482"/>
      <c r="CP21" s="1401">
        <f ca="1">AE21+RAND()*0.01</f>
        <v>10.000556265765638</v>
      </c>
      <c r="CQ21" s="1433">
        <f>VLOOKUP(C21,$CO$2:$DF$11,18,FALSE)</f>
        <v>0</v>
      </c>
      <c r="CR21" s="1433">
        <f>VLOOKUP(D21,$CO$2:$DF$11,18,FALSE)</f>
        <v>3</v>
      </c>
      <c r="CS21" s="1433">
        <f>VLOOKUP(E21,$CO$2:$DF$11,18,FALSE)</f>
        <v>0</v>
      </c>
      <c r="CT21" s="1433">
        <f>VLOOKUP(F21,$CO$2:$DF$11,18,FALSE)</f>
        <v>3</v>
      </c>
      <c r="CU21" s="1433">
        <f>VLOOKUP(G21,$CO$2:$DF$11,18,FALSE)</f>
        <v>0</v>
      </c>
      <c r="CV21" s="1433">
        <f>VLOOKUP(H21,$CO$2:$DF$11,18,FALSE)</f>
        <v>3</v>
      </c>
      <c r="CW21" s="1433">
        <f>VLOOKUP(I21,$CO$2:$DF$11,18,FALSE)</f>
        <v>3</v>
      </c>
      <c r="CX21" s="1433">
        <f>VLOOKUP(J21,$CO$2:$DF$11,18,FALSE)</f>
        <v>3</v>
      </c>
      <c r="CY21" s="1433">
        <f>VLOOKUP(K21,$CO$2:$DF$11,18,FALSE)</f>
        <v>3</v>
      </c>
      <c r="CZ21" s="1433">
        <f>VLOOKUP(L21,$CO$2:$DF$11,18,FALSE)</f>
        <v>3</v>
      </c>
      <c r="DA21" s="1433">
        <f>VLOOKUP(M21,$CO$2:$DF$11,18,FALSE)</f>
        <v>0</v>
      </c>
      <c r="DB21" s="1433">
        <f>VLOOKUP(N21,$CO$2:$DF$11,18,FALSE)</f>
        <v>3</v>
      </c>
      <c r="DC21" s="1433">
        <f>VLOOKUP(O21,$CO$2:$DF$11,18,FALSE)</f>
        <v>3</v>
      </c>
      <c r="DD21" s="1433">
        <f>VLOOKUP(P21,$CO$2:$DF$11,18,FALSE)</f>
        <v>3</v>
      </c>
      <c r="DE21" s="1432">
        <f ca="1">IF(AND(DI21=0,A21=""),AL21,IF(DI21=0,AL21+VLOOKUP(AX21,[10]Critérium!$AC$49:$DE$100,81,FALSE),AL21+VLOOKUP(AX21,[10]Critérium!$B$6:$T$22,19,FALSE)+VLOOKUP(AX21,[10]Critérium!$AC$49:$DE$100,81,FALSE)))</f>
        <v>18</v>
      </c>
      <c r="DF21" s="1431"/>
      <c r="DG21" s="1429">
        <f ca="1">IF(AND(DI21=0,A21=""),AM21,IF(DI21=0,AM21+VLOOKUP(AX21,[10]Critérium!$AC$49:$DH$100,84,FALSE),AM21+VLOOKUP(AX21,[10]Critérium!$B$6:$V$22,21,FALSE)+VLOOKUP(AX21,[10]Critérium!$AC$49:$DH$100,84,FALSE)))</f>
        <v>30</v>
      </c>
      <c r="DH21" s="1430">
        <f ca="1">IF(DG21=0,0,(DE21/DG21+RAND()*0.0001))</f>
        <v>0.60003010663426193</v>
      </c>
      <c r="DI21" s="1429">
        <f>VLOOKUP(AX21,[10]liste!AN:AR,5,FALSE)</f>
        <v>0</v>
      </c>
      <c r="DJ21" s="1427">
        <f ca="1">DG21+RAND()</f>
        <v>30.868309013234111</v>
      </c>
      <c r="DK21" s="1427" t="str">
        <f>A21</f>
        <v>Le Cam Alan</v>
      </c>
      <c r="DL21" s="1427"/>
      <c r="DM21" s="1428">
        <f>HLOOKUP($DM$1,$C$1:$P$70,21,FALSE)</f>
        <v>5</v>
      </c>
      <c r="DN21" s="1428">
        <f>HLOOKUP($DN$1,$Q$1:$AD$70,21,FALSE)</f>
        <v>0</v>
      </c>
      <c r="DO21" s="1401"/>
      <c r="DP21" s="1401"/>
      <c r="DQ21" s="1401"/>
      <c r="DR21" s="1400">
        <f>IF(SUM(C21:P21)=0,0,(AE21*10/SUM(C21:P21)/2)*AE21/21)</f>
        <v>0.44091710758377428</v>
      </c>
      <c r="DS21" s="1427"/>
      <c r="DT21" s="1444"/>
      <c r="DU21" s="1444"/>
      <c r="DV21" s="1444"/>
      <c r="DW21" s="1444"/>
      <c r="DX21" s="1444"/>
      <c r="DY21" s="1444"/>
      <c r="DZ21" s="1444"/>
      <c r="EA21" s="1444"/>
      <c r="EB21" s="1427"/>
      <c r="EC21" s="1427"/>
      <c r="ED21" s="1427"/>
      <c r="EE21" s="1427"/>
      <c r="EF21" s="1427"/>
      <c r="EG21" s="1427"/>
      <c r="EH21" s="1427"/>
      <c r="EI21" s="1427"/>
      <c r="EJ21" s="1427"/>
      <c r="EK21" s="1427"/>
      <c r="EL21" s="1427"/>
      <c r="EM21" s="1427"/>
      <c r="EN21" s="1427"/>
      <c r="EO21" s="1427"/>
      <c r="EP21" s="1427"/>
      <c r="EQ21" s="1427"/>
      <c r="ER21" s="1427"/>
      <c r="ES21" s="1427"/>
      <c r="ET21" s="1427"/>
      <c r="EU21" s="1427"/>
      <c r="EV21" s="1427"/>
      <c r="EW21" s="1427"/>
      <c r="EX21" s="1427"/>
      <c r="EY21" s="1427"/>
      <c r="EZ21" s="1427"/>
      <c r="FA21" s="1427"/>
      <c r="FB21" s="1427"/>
      <c r="FC21" s="1427"/>
      <c r="FD21" s="1427"/>
      <c r="FE21" s="1427"/>
      <c r="FF21" s="1427"/>
      <c r="FG21" s="1427"/>
      <c r="FH21" s="1427"/>
      <c r="FI21" s="1427"/>
      <c r="FJ21" s="1427"/>
      <c r="FK21" s="1427"/>
      <c r="FL21" s="1427"/>
      <c r="FM21" s="1427"/>
      <c r="FN21" s="1427"/>
      <c r="FO21" s="1427"/>
      <c r="FP21" s="1427"/>
      <c r="FQ21" s="1427"/>
    </row>
    <row r="22" spans="1:173" s="1426" customFormat="1" ht="21.95" customHeight="1">
      <c r="A22" s="1477" t="str">
        <f>[10]points!B34</f>
        <v>Vilain Benjamin</v>
      </c>
      <c r="B22" s="1476">
        <v>5</v>
      </c>
      <c r="C22" s="1428">
        <v>4</v>
      </c>
      <c r="D22" s="1428"/>
      <c r="E22" s="1428">
        <v>4</v>
      </c>
      <c r="F22" s="1428">
        <v>4</v>
      </c>
      <c r="G22" s="1428">
        <v>4</v>
      </c>
      <c r="H22" s="1428">
        <v>4</v>
      </c>
      <c r="I22" s="1475">
        <v>4</v>
      </c>
      <c r="J22" s="1428"/>
      <c r="K22" s="1428">
        <v>5</v>
      </c>
      <c r="L22" s="1428">
        <v>5</v>
      </c>
      <c r="M22" s="1428">
        <v>5</v>
      </c>
      <c r="N22" s="1428">
        <v>5</v>
      </c>
      <c r="O22" s="1428">
        <v>3</v>
      </c>
      <c r="P22" s="1474">
        <v>5</v>
      </c>
      <c r="Q22" s="1472">
        <v>2</v>
      </c>
      <c r="R22" s="1471"/>
      <c r="S22" s="1471">
        <v>0</v>
      </c>
      <c r="T22" s="1471">
        <v>3</v>
      </c>
      <c r="U22" s="1471">
        <v>1</v>
      </c>
      <c r="V22" s="1471">
        <v>1</v>
      </c>
      <c r="W22" s="1473">
        <v>1</v>
      </c>
      <c r="X22" s="1472"/>
      <c r="Y22" s="1471">
        <v>3</v>
      </c>
      <c r="Z22" s="1471">
        <v>1</v>
      </c>
      <c r="AA22" s="1471">
        <v>3</v>
      </c>
      <c r="AB22" s="1471">
        <v>1</v>
      </c>
      <c r="AC22" s="1471">
        <v>3</v>
      </c>
      <c r="AD22" s="1471">
        <v>3</v>
      </c>
      <c r="AE22" s="1458">
        <f>IF(B22="","",COUNTIF(C22:P22,"&gt;0"))</f>
        <v>12</v>
      </c>
      <c r="AF22" s="1470">
        <f>SUM(Q22:W22)</f>
        <v>8</v>
      </c>
      <c r="AG22" s="1470">
        <f>SUM(CQ22:CW22)</f>
        <v>18</v>
      </c>
      <c r="AH22" s="1469">
        <f ca="1">IF(AG22=0,"X",IF(AG22&lt;LARGE(AG$2:AG$70,1)/3,"NS",RAND()*0.00001+AF22/AG22))</f>
        <v>0.44444808988255619</v>
      </c>
      <c r="AI22" s="1470">
        <f>SUM(X22:AD22)</f>
        <v>14</v>
      </c>
      <c r="AJ22" s="1470">
        <f>SUM(CX22:DD22)</f>
        <v>18</v>
      </c>
      <c r="AK22" s="1469">
        <f ca="1">IF(AJ22=0,"X",IF(AJ22&lt;LARGE(AJ$2:AJ$70,1)/4,"NS",RAND()*0.00001+AI22/AJ22))</f>
        <v>0.77778136442459789</v>
      </c>
      <c r="AL22" s="1470">
        <f>SUM(Q22:AD22)</f>
        <v>22</v>
      </c>
      <c r="AM22" s="1470">
        <f>SUM(CQ22:DD22)</f>
        <v>36</v>
      </c>
      <c r="AN22" s="1469">
        <f ca="1">IF(AM22=0,"X",IF(AM22&lt;LARGE(AM$2:AM$70,1)/3,"NS",RAND()*0.00001+AL22/AM22))</f>
        <v>0.61111719781891194</v>
      </c>
      <c r="AO22" s="1437">
        <f ca="1">IF(B22="",10,B22+RAND()*0.01)</f>
        <v>5.0038066424846077</v>
      </c>
      <c r="AP22" s="1437" t="str">
        <f ca="1">IF(AND(C22="",J22=""),"e",IF(J22="",IF($BD$1&lt;=7,C22+RAND()*0.01,"e"),J22+RAND()*0.01))</f>
        <v>e</v>
      </c>
      <c r="AQ22" s="1437">
        <f ca="1">IF(AND(D22="",K22=""),"e",IF(K22="",IF($BD$1&lt;=7,D22+RAND()*0.01,"e"),K22+RAND()*0.01))</f>
        <v>5.0018723101217075</v>
      </c>
      <c r="AR22" s="1437">
        <f ca="1">IF(AND(E22="",L22=""),"e",IF(L22="",IF($BD$1&lt;=7,E22+RAND()*0.01,"e"),L22+RAND()*0.01))</f>
        <v>5.0017229479552183</v>
      </c>
      <c r="AS22" s="1437">
        <f ca="1">IF(AND(F22="",M22=""),"e",IF(M22="",IF($BD$1&lt;=7,F22+RAND()*0.01,"e"),M22+RAND()*0.01))</f>
        <v>5.0049685713393695</v>
      </c>
      <c r="AT22" s="1437">
        <f ca="1">IF(AND(G22="",N22=""),"e",IF(N22="",IF($BD$1&lt;=7,G22+RAND()*0.01,"e"),N22+RAND()*0.01))</f>
        <v>5.0073440613961466</v>
      </c>
      <c r="AU22" s="1437">
        <f ca="1">IF(AND(H22="",O22=""),"e",IF(O22="",IF($BD$1&lt;=7,H22+RAND()*0.01,"e"),O22+RAND()*0.01))</f>
        <v>3.0083369680542473</v>
      </c>
      <c r="AV22" s="1437">
        <f ca="1">IF(AND(I22="",P22=""),"e",IF(P22="",IF($BD$1&lt;=7,I22+RAND()*0.01,"e"),P22+RAND()*0.01))</f>
        <v>5.0006800963098632</v>
      </c>
      <c r="AW22" s="1437"/>
      <c r="AX22" s="1436" t="str">
        <f>A22</f>
        <v>Vilain Benjamin</v>
      </c>
      <c r="AY22" s="1580" t="str">
        <f>IF(OR($H$2&gt;0,$H$3&gt;0,$H$4&gt;0,$H$5&gt;0,$H$6&gt;0,$H$7&gt;0,$H$8&gt;0,$H$2&gt;0),"",IF(COUNTIF(C22:H22,"")&gt;=5,"",IF(COUNTIF(C22:H22,SMALL(C22:H22,1))&gt;=2,SMALL(C22:H22,1),SMALL(C22:H22,2))))</f>
        <v/>
      </c>
      <c r="AZ22" s="1581">
        <f>IF(COUNTIF(J22:O22,"")&gt;=5,"",IF(COUNTIF(J22:O22,SMALL(J22:O22,1))&gt;=2,SMALL(J22:O22,1),SMALL(J22:O22,2)))</f>
        <v>5</v>
      </c>
      <c r="BA22" s="1401"/>
      <c r="BB22" s="1590" t="s">
        <v>749</v>
      </c>
      <c r="BC22" s="1581" t="str">
        <f ca="1">IF(BB22="",IF(TODAY()&lt;[10]cal.Ph1!$B$41,"",IF($BD$1&lt;=$BA$1,"..........??........  "&amp;VLOOKUP("journée n° "&amp;$BD$1+1,'[10]résultats des équipes'!$B$1:$R$110,17,FALSE)&amp;" "&amp;VLOOKUP($BD$1,'[10]résultats des équipes'!$E$90:$AL$103,16,FALSE)," contre "&amp;VLOOKUP($BD$1,'[10]résultats des équipes'!$E$90:$AL$103,16,FALSE))),IF(TODAY()&lt;[10]cal.Ph1!$B$41,"",IF($BD$1&lt;=$BA$1,VLOOKUP($BD$1,'[10]résultats des équipes'!$E$90:$AL$103,14,FALSE)&amp;" contre "&amp;VLOOKUP($BD$1,'[10]résultats des équipes'!$E$90:$AL$103,16,FALSE)," contre "&amp;VLOOKUP($BD$1,'[10]résultats des équipes'!$E$90:$AL$103,16,FALSE))))</f>
        <v>Déf 9 - 5 contre BO QUESTEMBERT 1</v>
      </c>
      <c r="BD22" s="1591"/>
      <c r="BE22" s="1592"/>
      <c r="BF22" s="1590"/>
      <c r="BG22" s="1590"/>
      <c r="BH22" s="1590"/>
      <c r="BI22" s="1590"/>
      <c r="BJ22" s="1590"/>
      <c r="BK22" s="1593"/>
      <c r="BL22" s="1590" t="s">
        <v>749</v>
      </c>
      <c r="BM22" s="1581" t="str">
        <f ca="1">IF(BL22="",IF(TODAY()&lt;[10]cal.Ph1!$B$41,"",IF($BD$1&lt;=$BA$1,"..........??........  "&amp;VLOOKUP("journée n° "&amp;$BD$1+1,'[10]résultats des équipes'!$B$1:$X$110,23,FALSE)&amp;" "&amp;VLOOKUP($BD$1,'[10]résultats des équipes'!$E$90:$AL$103,22,FALSE)," contre "&amp;VLOOKUP($BD$1,'[10]résultats des équipes'!$E$90:$AL$103,22,FALSE))),IF(TODAY()&lt;[10]cal.Ph1!$B$41,"",IF($BD$1&lt;=$BA$1,VLOOKUP($BD$1,'[10]résultats des équipes'!$E$90:$AL$103,20,FALSE)&amp;" contre "&amp;VLOOKUP($BD$1,'[10]résultats des équipes'!$E$90:$AL$103,22,FALSE)," contre "&amp;VLOOKUP($BD$1,'[10]résultats des équipes'!$E$90:$AL$103,22,FALSE))))</f>
        <v>Nul 7 - 7 contre ASPTT VANNES 4</v>
      </c>
      <c r="BN22" s="1591"/>
      <c r="BO22" s="1592"/>
      <c r="BP22" s="1594"/>
      <c r="BQ22" s="1594"/>
      <c r="BR22" s="1594"/>
      <c r="BS22" s="1594"/>
      <c r="BT22" s="1594"/>
      <c r="BU22" s="1593"/>
      <c r="BV22" s="1503"/>
      <c r="BW22" s="1502"/>
      <c r="BX22" s="1501"/>
      <c r="BY22" s="561">
        <f ca="1">IF($BD$1&lt;=7,COUNTIF($C22:$I22,"1")+RAND()*0.0001,COUNTIF($J22:$P22,"1")+RAND()*0.0001)</f>
        <v>8.3310170428770536E-6</v>
      </c>
      <c r="BZ22" s="561" t="str">
        <f ca="1">IF(BY22&lt;1,"",AX22)</f>
        <v/>
      </c>
      <c r="CA22" s="561">
        <f ca="1">IF($BD$1&lt;=7,COUNTIF($C22:$I22,"2")+RAND()*0.0001,COUNTIF($J22:$P22,"2")+RAND()*0.0001)</f>
        <v>9.6165641695724066E-6</v>
      </c>
      <c r="CB22" s="561" t="str">
        <f ca="1">IF(CA22&lt;1,"",AX22)</f>
        <v/>
      </c>
      <c r="CC22" s="561">
        <f ca="1">IF($BD$1&lt;=7,COUNTIF($C22:$I22,"3")+RAND()*0.0001,COUNTIF($J22:$P22,"3")+RAND()*0.0001)</f>
        <v>1.0000169151405722</v>
      </c>
      <c r="CD22" s="561" t="str">
        <f ca="1">IF(CC22&lt;1,"",AX22)</f>
        <v>Vilain Benjamin</v>
      </c>
      <c r="CE22" s="561">
        <f ca="1">IF($BD$1&lt;=7,COUNTIF($C22:$I22,"4")+RAND()*0.0001,COUNTIF($J22:$P22,"4")+RAND()*0.0001)</f>
        <v>8.1115469726815995E-5</v>
      </c>
      <c r="CF22" s="561" t="str">
        <f ca="1">IF(CE22&lt;1,"",AX22)</f>
        <v/>
      </c>
      <c r="CG22" s="561">
        <f ca="1">IF($BD$1&lt;=7,COUNTIF($C22:$I22,"5")+RAND()*0.0001,COUNTIF($J22:$P22,"5")+RAND()*0.0001)</f>
        <v>5.0000216851197417</v>
      </c>
      <c r="CH22" s="561" t="str">
        <f ca="1">IF(CG22&lt;1,"",AX22)</f>
        <v>Vilain Benjamin</v>
      </c>
      <c r="CI22" s="561">
        <f ca="1">IF($BD$1&lt;=7,COUNTIF($C22:$I22,"6")+RAND()*0.0001,COUNTIF($J22:$P22,"6")+RAND()*0.0001)</f>
        <v>3.35857281312038E-5</v>
      </c>
      <c r="CJ22" s="561" t="str">
        <f ca="1">IF(CI22&lt;1,"",AX22)</f>
        <v/>
      </c>
      <c r="CK22" s="561">
        <f ca="1">IF($BD$1&lt;=7,COUNTIF($C22:$I22,"7")+RAND()*0.0001,COUNTIF($J22:$P22,"7")+RAND()*0.0001)</f>
        <v>4.1815001903424486E-5</v>
      </c>
      <c r="CL22" s="561" t="str">
        <f ca="1">IF(CK22&lt;1,"",AX22)</f>
        <v/>
      </c>
      <c r="CM22" s="561">
        <f ca="1">IF($BD$1&lt;=7,COUNTIF($C22:$I22,"8")+RAND()*0.0001,COUNTIF($J22:$P22,"8")+RAND()*0.0001)</f>
        <v>4.1892359052232998E-5</v>
      </c>
      <c r="CN22" s="561" t="str">
        <f ca="1">IF(CM22&lt;1,"",AX22)</f>
        <v/>
      </c>
      <c r="CO22" s="1401"/>
      <c r="CP22" s="1401">
        <f ca="1">AE22+RAND()*0.01</f>
        <v>12.006659246669184</v>
      </c>
      <c r="CQ22" s="1433">
        <f>VLOOKUP(C22,$CO$2:$DF$11,18,FALSE)</f>
        <v>3</v>
      </c>
      <c r="CR22" s="1433">
        <f>VLOOKUP(D22,$CO$2:$DF$11,18,FALSE)</f>
        <v>0</v>
      </c>
      <c r="CS22" s="1433">
        <f>VLOOKUP(E22,$CO$2:$DF$11,18,FALSE)</f>
        <v>3</v>
      </c>
      <c r="CT22" s="1433">
        <f>VLOOKUP(F22,$CO$2:$DF$11,18,FALSE)</f>
        <v>3</v>
      </c>
      <c r="CU22" s="1433">
        <f>VLOOKUP(G22,$CO$2:$DF$11,18,FALSE)</f>
        <v>3</v>
      </c>
      <c r="CV22" s="1433">
        <f>VLOOKUP(H22,$CO$2:$DF$11,18,FALSE)</f>
        <v>3</v>
      </c>
      <c r="CW22" s="1433">
        <f>VLOOKUP(I22,$CO$2:$DF$11,18,FALSE)</f>
        <v>3</v>
      </c>
      <c r="CX22" s="1433">
        <f>VLOOKUP(J22,$CO$2:$DF$11,18,FALSE)</f>
        <v>0</v>
      </c>
      <c r="CY22" s="1433">
        <f>VLOOKUP(K22,$CO$2:$DF$11,18,FALSE)</f>
        <v>3</v>
      </c>
      <c r="CZ22" s="1433">
        <f>VLOOKUP(L22,$CO$2:$DF$11,18,FALSE)</f>
        <v>3</v>
      </c>
      <c r="DA22" s="1433">
        <f>VLOOKUP(M22,$CO$2:$DF$11,18,FALSE)</f>
        <v>3</v>
      </c>
      <c r="DB22" s="1433">
        <f>VLOOKUP(N22,$CO$2:$DF$11,18,FALSE)</f>
        <v>3</v>
      </c>
      <c r="DC22" s="1433">
        <f>VLOOKUP(O22,$CO$2:$DF$11,18,FALSE)</f>
        <v>3</v>
      </c>
      <c r="DD22" s="1433">
        <f>VLOOKUP(P22,$CO$2:$DF$11,18,FALSE)</f>
        <v>3</v>
      </c>
      <c r="DE22" s="1432">
        <f ca="1">IF(AND(DI22=0,A22=""),AL22,IF(DI22=0,AL22+VLOOKUP(AX22,[10]Critérium!$AC$49:$DE$100,81,FALSE),AL22+VLOOKUP(AX22,[10]Critérium!$B$6:$T$22,19,FALSE)+VLOOKUP(AX22,[10]Critérium!$AC$49:$DE$100,81,FALSE)))</f>
        <v>23</v>
      </c>
      <c r="DF22" s="1431"/>
      <c r="DG22" s="1429">
        <f ca="1">IF(AND(DI22=0,A22=""),AM22,IF(DI22=0,AM22+VLOOKUP(AX22,[10]Critérium!$AC$49:$DH$100,84,FALSE),AM22+VLOOKUP(AX22,[10]Critérium!$B$6:$V$22,21,FALSE)+VLOOKUP(AX22,[10]Critérium!$AC$49:$DH$100,84,FALSE)))</f>
        <v>42</v>
      </c>
      <c r="DH22" s="1430">
        <f ca="1">IF(DG22=0,0,(DE22/DG22+RAND()*0.0001))</f>
        <v>0.54769006350355143</v>
      </c>
      <c r="DI22" s="1429">
        <f>VLOOKUP(AX22,[10]liste!AN:AR,5,FALSE)</f>
        <v>0</v>
      </c>
      <c r="DJ22" s="1427">
        <f ca="1">DG22+RAND()</f>
        <v>42.978147395916608</v>
      </c>
      <c r="DK22" s="1427" t="str">
        <f>A22</f>
        <v>Vilain Benjamin</v>
      </c>
      <c r="DL22" s="1427"/>
      <c r="DM22" s="1428">
        <f>HLOOKUP($DM$1,$C$1:$P$70,22,FALSE)</f>
        <v>5</v>
      </c>
      <c r="DN22" s="1428">
        <f>HLOOKUP($DN$1,$Q$1:$AD$70,22,FALSE)</f>
        <v>3</v>
      </c>
      <c r="DO22" s="1401"/>
      <c r="DP22" s="1401"/>
      <c r="DQ22" s="1401"/>
      <c r="DR22" s="1400">
        <f>IF(SUM(C22:P22)=0,0,(AE22*10/SUM(C22:P22)/2)*AE22/21)</f>
        <v>0.65934065934065933</v>
      </c>
      <c r="DS22" s="1427"/>
      <c r="DT22" s="1444"/>
      <c r="DU22" s="1444"/>
      <c r="DV22" s="1444"/>
      <c r="DW22" s="1444"/>
      <c r="DX22" s="1444"/>
      <c r="DY22" s="1444"/>
      <c r="DZ22" s="1444"/>
      <c r="EA22" s="1444"/>
      <c r="EB22" s="1427"/>
      <c r="EC22" s="1427"/>
      <c r="ED22" s="1427"/>
      <c r="EE22" s="1427"/>
      <c r="EF22" s="1427"/>
      <c r="EG22" s="1427"/>
      <c r="EH22" s="1427"/>
      <c r="EI22" s="1427"/>
      <c r="EJ22" s="1427"/>
      <c r="EK22" s="1427"/>
      <c r="EL22" s="1427"/>
      <c r="EM22" s="1427"/>
      <c r="EN22" s="1427"/>
      <c r="EO22" s="1427"/>
      <c r="EP22" s="1427"/>
      <c r="EQ22" s="1427"/>
      <c r="ER22" s="1427"/>
      <c r="ES22" s="1427"/>
      <c r="ET22" s="1427"/>
      <c r="EU22" s="1427"/>
      <c r="EV22" s="1427"/>
      <c r="EW22" s="1427"/>
      <c r="EX22" s="1427"/>
      <c r="EY22" s="1427"/>
      <c r="EZ22" s="1427"/>
      <c r="FA22" s="1427"/>
      <c r="FB22" s="1427"/>
      <c r="FC22" s="1427"/>
      <c r="FD22" s="1427"/>
      <c r="FE22" s="1427"/>
      <c r="FF22" s="1427"/>
      <c r="FG22" s="1427"/>
      <c r="FH22" s="1427"/>
      <c r="FI22" s="1427"/>
      <c r="FJ22" s="1427"/>
      <c r="FK22" s="1427"/>
      <c r="FL22" s="1427"/>
      <c r="FM22" s="1427"/>
      <c r="FN22" s="1427"/>
      <c r="FO22" s="1427"/>
      <c r="FP22" s="1427"/>
      <c r="FQ22" s="1427"/>
    </row>
    <row r="23" spans="1:173" s="1426" customFormat="1" ht="21.95" customHeight="1">
      <c r="A23" s="1477" t="str">
        <f>[10]points!B31</f>
        <v>Touche Rémy</v>
      </c>
      <c r="B23" s="1476">
        <v>5</v>
      </c>
      <c r="C23" s="1428">
        <v>6</v>
      </c>
      <c r="D23" s="1428">
        <v>2</v>
      </c>
      <c r="E23" s="1428">
        <v>6</v>
      </c>
      <c r="F23" s="1428">
        <v>6</v>
      </c>
      <c r="G23" s="1428"/>
      <c r="H23" s="1428">
        <v>6</v>
      </c>
      <c r="I23" s="1475">
        <v>6</v>
      </c>
      <c r="J23" s="1428">
        <v>5</v>
      </c>
      <c r="K23" s="1428">
        <v>6</v>
      </c>
      <c r="L23" s="1428">
        <v>5</v>
      </c>
      <c r="M23" s="1428">
        <v>5</v>
      </c>
      <c r="N23" s="1428">
        <v>5</v>
      </c>
      <c r="O23" s="1428">
        <v>5</v>
      </c>
      <c r="P23" s="1474"/>
      <c r="Q23" s="1472">
        <v>3</v>
      </c>
      <c r="R23" s="1471">
        <v>1</v>
      </c>
      <c r="S23" s="1471">
        <v>3</v>
      </c>
      <c r="T23" s="1471">
        <v>3</v>
      </c>
      <c r="U23" s="1471"/>
      <c r="V23" s="1471">
        <v>3</v>
      </c>
      <c r="W23" s="1473">
        <v>3</v>
      </c>
      <c r="X23" s="1472">
        <v>3</v>
      </c>
      <c r="Y23" s="1471">
        <v>3</v>
      </c>
      <c r="Z23" s="1471">
        <v>2</v>
      </c>
      <c r="AA23" s="1471">
        <v>3</v>
      </c>
      <c r="AB23" s="1471">
        <v>1</v>
      </c>
      <c r="AC23" s="1471">
        <v>2</v>
      </c>
      <c r="AD23" s="1471"/>
      <c r="AE23" s="1458">
        <f>IF(B23="","",COUNTIF(C23:P23,"&gt;0"))</f>
        <v>12</v>
      </c>
      <c r="AF23" s="1470">
        <f>SUM(Q23:W23)</f>
        <v>16</v>
      </c>
      <c r="AG23" s="1470">
        <f>SUM(CQ23:CW23)</f>
        <v>18</v>
      </c>
      <c r="AH23" s="1469">
        <f ca="1">IF(AG23=0,"X",IF(AG23&lt;LARGE(AG$2:AG$70,1)/3,"NS",RAND()*0.00001+AF23/AG23))</f>
        <v>0.88889868927547933</v>
      </c>
      <c r="AI23" s="1470">
        <f>SUM(X23:AD23)</f>
        <v>14</v>
      </c>
      <c r="AJ23" s="1470">
        <f>SUM(CX23:DD23)</f>
        <v>18</v>
      </c>
      <c r="AK23" s="1469">
        <f ca="1">IF(AJ23=0,"X",IF(AJ23&lt;LARGE(AJ$2:AJ$70,1)/4,"NS",RAND()*0.00001+AI23/AJ23))</f>
        <v>0.77778195729487787</v>
      </c>
      <c r="AL23" s="1470">
        <f>SUM(Q23:AD23)</f>
        <v>30</v>
      </c>
      <c r="AM23" s="1470">
        <f>SUM(CQ23:DD23)</f>
        <v>36</v>
      </c>
      <c r="AN23" s="1469">
        <f ca="1">IF(AM23=0,"X",IF(AM23&lt;LARGE(AM$2:AM$70,1)/3,"NS",RAND()*0.00001+AL23/AM23))</f>
        <v>0.83334074640815803</v>
      </c>
      <c r="AO23" s="1437">
        <f ca="1">IF(B23="",10,B23+RAND()*0.01)</f>
        <v>5.0018019607983693</v>
      </c>
      <c r="AP23" s="1437">
        <f ca="1">IF(AND(C23="",J23=""),"e",IF(J23="",IF($BD$1&lt;=7,C23+RAND()*0.01,"e"),J23+RAND()*0.01))</f>
        <v>5.0025715021271902</v>
      </c>
      <c r="AQ23" s="1437">
        <f ca="1">IF(AND(D23="",K23=""),"e",IF(K23="",IF($BD$1&lt;=7,D23+RAND()*0.01,"e"),K23+RAND()*0.01))</f>
        <v>6.002892231850697</v>
      </c>
      <c r="AR23" s="1437">
        <f ca="1">IF(AND(E23="",L23=""),"e",IF(L23="",IF($BD$1&lt;=7,E23+RAND()*0.01,"e"),L23+RAND()*0.01))</f>
        <v>5.0040376289806181</v>
      </c>
      <c r="AS23" s="1437">
        <f ca="1">IF(AND(F23="",M23=""),"e",IF(M23="",IF($BD$1&lt;=7,F23+RAND()*0.01,"e"),M23+RAND()*0.01))</f>
        <v>5.0073761343190331</v>
      </c>
      <c r="AT23" s="1437">
        <f ca="1">IF(AND(G23="",N23=""),"e",IF(N23="",IF($BD$1&lt;=7,G23+RAND()*0.01,"e"),N23+RAND()*0.01))</f>
        <v>5.0097532514103262</v>
      </c>
      <c r="AU23" s="1437">
        <f ca="1">IF(AND(H23="",O23=""),"e",IF(O23="",IF($BD$1&lt;=7,H23+RAND()*0.01,"e"),O23+RAND()*0.01))</f>
        <v>5.0082460184855586</v>
      </c>
      <c r="AV23" s="1437" t="str">
        <f ca="1">IF(AND(I23="",P23=""),"e",IF(P23="",IF($BD$1&lt;=7,I23+RAND()*0.01,"e"),P23+RAND()*0.01))</f>
        <v>e</v>
      </c>
      <c r="AW23" s="1437"/>
      <c r="AX23" s="1436" t="str">
        <f>A23</f>
        <v>Touche Rémy</v>
      </c>
      <c r="AY23" s="1580" t="str">
        <f>IF(OR($H$2&gt;0,$H$3&gt;0,$H$4&gt;0,$H$5&gt;0,$H$6&gt;0,$H$7&gt;0,$H$8&gt;0,$H$2&gt;0),"",IF(COUNTIF(C23:H23,"")&gt;=5,"",IF(COUNTIF(C23:H23,SMALL(C23:H23,1))&gt;=2,SMALL(C23:H23,1),SMALL(C23:H23,2))))</f>
        <v/>
      </c>
      <c r="AZ23" s="1581">
        <f>IF(COUNTIF(J23:O23,"")&gt;=5,"",IF(COUNTIF(J23:O23,SMALL(J23:O23,1))&gt;=2,SMALL(J23:O23,1),SMALL(J23:O23,2)))</f>
        <v>5</v>
      </c>
      <c r="BA23" s="1401"/>
      <c r="BB23" s="1595" t="str">
        <f>VLOOKUP("journée "&amp;$BD$1,'[10]résultats commentaires'!R70:T83,3,FALSE)</f>
        <v>Défaique logique face aux grands favoris</v>
      </c>
      <c r="BC23" s="1592"/>
      <c r="BD23" s="1596"/>
      <c r="BE23" s="1597"/>
      <c r="BF23" s="1597"/>
      <c r="BG23" s="1597"/>
      <c r="BH23" s="1597"/>
      <c r="BI23" s="1597"/>
      <c r="BJ23" s="1597"/>
      <c r="BK23" s="1590"/>
      <c r="BL23" s="1595" t="str">
        <f>VLOOKUP("journée "&amp;$BD$1,'[10]résultats commentaires'!R93:T106,3,FALSE)</f>
        <v>Un résultat poszitif synonyme de maintien</v>
      </c>
      <c r="BM23" s="1590"/>
      <c r="BN23" s="1590"/>
      <c r="BO23" s="1590"/>
      <c r="BP23" s="1590"/>
      <c r="BQ23" s="1590"/>
      <c r="BR23" s="1590"/>
      <c r="BS23" s="1590"/>
      <c r="BT23" s="1590"/>
      <c r="BU23" s="1590"/>
      <c r="BV23" s="1401"/>
      <c r="BW23" s="1401"/>
      <c r="BX23" s="1401"/>
      <c r="BY23" s="561">
        <f ca="1">IF($BD$1&lt;=7,COUNTIF($C23:$I23,"1")+RAND()*0.0001,COUNTIF($J23:$P23,"1")+RAND()*0.0001)</f>
        <v>9.7844152576281139E-5</v>
      </c>
      <c r="BZ23" s="561" t="str">
        <f ca="1">IF(BY23&lt;1,"",AX23)</f>
        <v/>
      </c>
      <c r="CA23" s="561">
        <f ca="1">IF($BD$1&lt;=7,COUNTIF($C23:$I23,"2")+RAND()*0.0001,COUNTIF($J23:$P23,"2")+RAND()*0.0001)</f>
        <v>7.575409680748589E-5</v>
      </c>
      <c r="CB23" s="561" t="str">
        <f ca="1">IF(CA23&lt;1,"",AX23)</f>
        <v/>
      </c>
      <c r="CC23" s="561">
        <f ca="1">IF($BD$1&lt;=7,COUNTIF($C23:$I23,"3")+RAND()*0.0001,COUNTIF($J23:$P23,"3")+RAND()*0.0001)</f>
        <v>9.434787791059685E-5</v>
      </c>
      <c r="CD23" s="561" t="str">
        <f ca="1">IF(CC23&lt;1,"",AX23)</f>
        <v/>
      </c>
      <c r="CE23" s="561">
        <f ca="1">IF($BD$1&lt;=7,COUNTIF($C23:$I23,"4")+RAND()*0.0001,COUNTIF($J23:$P23,"4")+RAND()*0.0001)</f>
        <v>5.6540106598648615E-6</v>
      </c>
      <c r="CF23" s="561" t="str">
        <f ca="1">IF(CE23&lt;1,"",AX23)</f>
        <v/>
      </c>
      <c r="CG23" s="561">
        <f ca="1">IF($BD$1&lt;=7,COUNTIF($C23:$I23,"5")+RAND()*0.0001,COUNTIF($J23:$P23,"5")+RAND()*0.0001)</f>
        <v>5.0000280252639557</v>
      </c>
      <c r="CH23" s="561" t="str">
        <f ca="1">IF(CG23&lt;1,"",AX23)</f>
        <v>Touche Rémy</v>
      </c>
      <c r="CI23" s="561">
        <f ca="1">IF($BD$1&lt;=7,COUNTIF($C23:$I23,"6")+RAND()*0.0001,COUNTIF($J23:$P23,"6")+RAND()*0.0001)</f>
        <v>1.0000378982579601</v>
      </c>
      <c r="CJ23" s="561" t="str">
        <f ca="1">IF(CI23&lt;1,"",AX23)</f>
        <v>Touche Rémy</v>
      </c>
      <c r="CK23" s="561">
        <f ca="1">IF($BD$1&lt;=7,COUNTIF($C23:$I23,"7")+RAND()*0.0001,COUNTIF($J23:$P23,"7")+RAND()*0.0001)</f>
        <v>8.2360953790319366E-5</v>
      </c>
      <c r="CL23" s="561" t="str">
        <f ca="1">IF(CK23&lt;1,"",AX23)</f>
        <v/>
      </c>
      <c r="CM23" s="561">
        <f ca="1">IF($BD$1&lt;=7,COUNTIF($C23:$I23,"8")+RAND()*0.0001,COUNTIF($J23:$P23,"8")+RAND()*0.0001)</f>
        <v>5.5427942032063572E-5</v>
      </c>
      <c r="CN23" s="561" t="str">
        <f ca="1">IF(CM23&lt;1,"",AX23)</f>
        <v/>
      </c>
      <c r="CO23" s="1401"/>
      <c r="CP23" s="1401">
        <f ca="1">AE23+RAND()*0.01</f>
        <v>12.000081415539386</v>
      </c>
      <c r="CQ23" s="1433">
        <f>VLOOKUP(C23,$CO$2:$DF$11,18,FALSE)</f>
        <v>3</v>
      </c>
      <c r="CR23" s="1433">
        <f>VLOOKUP(D23,$CO$2:$DF$11,18,FALSE)</f>
        <v>3</v>
      </c>
      <c r="CS23" s="1433">
        <f>VLOOKUP(E23,$CO$2:$DF$11,18,FALSE)</f>
        <v>3</v>
      </c>
      <c r="CT23" s="1433">
        <f>VLOOKUP(F23,$CO$2:$DF$11,18,FALSE)</f>
        <v>3</v>
      </c>
      <c r="CU23" s="1433">
        <f>VLOOKUP(G23,$CO$2:$DF$11,18,FALSE)</f>
        <v>0</v>
      </c>
      <c r="CV23" s="1433">
        <f>VLOOKUP(H23,$CO$2:$DF$11,18,FALSE)</f>
        <v>3</v>
      </c>
      <c r="CW23" s="1433">
        <f>VLOOKUP(I23,$CO$2:$DF$11,18,FALSE)</f>
        <v>3</v>
      </c>
      <c r="CX23" s="1433">
        <f>VLOOKUP(J23,$CO$2:$DF$11,18,FALSE)</f>
        <v>3</v>
      </c>
      <c r="CY23" s="1433">
        <f>VLOOKUP(K23,$CO$2:$DF$11,18,FALSE)</f>
        <v>3</v>
      </c>
      <c r="CZ23" s="1433">
        <f>VLOOKUP(L23,$CO$2:$DF$11,18,FALSE)</f>
        <v>3</v>
      </c>
      <c r="DA23" s="1433">
        <f>VLOOKUP(M23,$CO$2:$DF$11,18,FALSE)</f>
        <v>3</v>
      </c>
      <c r="DB23" s="1433">
        <f>VLOOKUP(N23,$CO$2:$DF$11,18,FALSE)</f>
        <v>3</v>
      </c>
      <c r="DC23" s="1433">
        <f>VLOOKUP(O23,$CO$2:$DF$11,18,FALSE)</f>
        <v>3</v>
      </c>
      <c r="DD23" s="1433">
        <f>VLOOKUP(P23,$CO$2:$DF$11,18,FALSE)</f>
        <v>0</v>
      </c>
      <c r="DE23" s="1432">
        <f ca="1">IF(AND(DI23=0,A23=""),AL23,IF(DI23=0,AL23+VLOOKUP(AX23,[10]Critérium!$AC$49:$DE$100,81,FALSE),AL23+VLOOKUP(AX23,[10]Critérium!$B$6:$T$22,19,FALSE)+VLOOKUP(AX23,[10]Critérium!$AC$49:$DE$100,81,FALSE)))</f>
        <v>33</v>
      </c>
      <c r="DF23" s="1431"/>
      <c r="DG23" s="1429">
        <f ca="1">IF(AND(DI23=0,A23=""),AM23,IF(DI23=0,AM23+VLOOKUP(AX23,[10]Critérium!$AC$49:$DH$100,84,FALSE),AM23+VLOOKUP(AX23,[10]Critérium!$B$6:$V$22,21,FALSE)+VLOOKUP(AX23,[10]Critérium!$AC$49:$DH$100,84,FALSE)))</f>
        <v>43</v>
      </c>
      <c r="DH23" s="1430">
        <f ca="1">IF(DG23=0,0,(DE23/DG23+RAND()*0.0001))</f>
        <v>0.76751947366558104</v>
      </c>
      <c r="DI23" s="1429">
        <f>VLOOKUP(AX23,[10]liste!AN:AR,5,FALSE)</f>
        <v>0</v>
      </c>
      <c r="DJ23" s="1427">
        <f ca="1">DG23+RAND()</f>
        <v>43.516628277468335</v>
      </c>
      <c r="DK23" s="1427" t="str">
        <f>A23</f>
        <v>Touche Rémy</v>
      </c>
      <c r="DL23" s="1427"/>
      <c r="DM23" s="1428">
        <f>HLOOKUP($DM$1,$C$1:$P$70,23,FALSE)</f>
        <v>0</v>
      </c>
      <c r="DN23" s="1428">
        <f>HLOOKUP($DN$1,$Q$1:$AD$70,23,FALSE)</f>
        <v>0</v>
      </c>
      <c r="DO23" s="1401"/>
      <c r="DP23" s="1401"/>
      <c r="DQ23" s="1401"/>
      <c r="DR23" s="1400">
        <f>IF(SUM(C23:P23)=0,0,(AE23*10/SUM(C23:P23)/2)*AE23/21)</f>
        <v>0.54421768707482987</v>
      </c>
      <c r="DS23" s="1427"/>
      <c r="DT23" s="1444"/>
      <c r="DU23" s="1444"/>
      <c r="DV23" s="1444"/>
      <c r="DW23" s="1444"/>
      <c r="DX23" s="1444"/>
      <c r="DY23" s="1444"/>
      <c r="DZ23" s="1444"/>
      <c r="EA23" s="1444"/>
      <c r="EB23" s="1427"/>
      <c r="EC23" s="1427"/>
      <c r="ED23" s="1427"/>
      <c r="EE23" s="1427"/>
      <c r="EF23" s="1427"/>
      <c r="EG23" s="1427"/>
      <c r="EH23" s="1427"/>
      <c r="EI23" s="1427"/>
      <c r="EJ23" s="1427"/>
      <c r="EK23" s="1427"/>
      <c r="EL23" s="1427"/>
      <c r="EM23" s="1427"/>
      <c r="EN23" s="1427"/>
      <c r="EO23" s="1427"/>
      <c r="EP23" s="1427"/>
      <c r="EQ23" s="1427"/>
      <c r="ER23" s="1427"/>
      <c r="ES23" s="1427"/>
      <c r="ET23" s="1427"/>
      <c r="EU23" s="1427"/>
      <c r="EV23" s="1427"/>
      <c r="EW23" s="1427"/>
      <c r="EX23" s="1427"/>
      <c r="EY23" s="1427"/>
      <c r="EZ23" s="1427"/>
      <c r="FA23" s="1427"/>
      <c r="FB23" s="1427"/>
      <c r="FC23" s="1427"/>
      <c r="FD23" s="1427"/>
      <c r="FE23" s="1427"/>
      <c r="FF23" s="1427"/>
      <c r="FG23" s="1427"/>
      <c r="FH23" s="1427"/>
      <c r="FI23" s="1427"/>
      <c r="FJ23" s="1427"/>
      <c r="FK23" s="1427"/>
      <c r="FL23" s="1427"/>
      <c r="FM23" s="1427"/>
      <c r="FN23" s="1427"/>
      <c r="FO23" s="1427"/>
      <c r="FP23" s="1427"/>
      <c r="FQ23" s="1427"/>
    </row>
    <row r="24" spans="1:173" s="1426" customFormat="1" ht="21.95" customHeight="1">
      <c r="A24" s="1477" t="str">
        <f>[10]points!B46</f>
        <v>Le Cam Corentin</v>
      </c>
      <c r="B24" s="1476">
        <v>6</v>
      </c>
      <c r="C24" s="1428">
        <v>5</v>
      </c>
      <c r="D24" s="1428">
        <v>5</v>
      </c>
      <c r="E24" s="1428"/>
      <c r="F24" s="1428"/>
      <c r="G24" s="1428">
        <v>5</v>
      </c>
      <c r="H24" s="1428">
        <v>5</v>
      </c>
      <c r="I24" s="1475"/>
      <c r="J24" s="1428">
        <v>6</v>
      </c>
      <c r="K24" s="1428"/>
      <c r="L24" s="1428">
        <v>6</v>
      </c>
      <c r="M24" s="1428">
        <v>6</v>
      </c>
      <c r="N24" s="1428">
        <v>6</v>
      </c>
      <c r="O24" s="1428"/>
      <c r="P24" s="1474">
        <v>5</v>
      </c>
      <c r="Q24" s="1472">
        <v>1</v>
      </c>
      <c r="R24" s="1471">
        <v>2</v>
      </c>
      <c r="S24" s="1471"/>
      <c r="T24" s="1471"/>
      <c r="U24" s="1471">
        <v>1</v>
      </c>
      <c r="V24" s="1471">
        <v>0</v>
      </c>
      <c r="W24" s="1473"/>
      <c r="X24" s="1472">
        <v>1</v>
      </c>
      <c r="Y24" s="1471"/>
      <c r="Z24" s="1471">
        <v>1</v>
      </c>
      <c r="AA24" s="1471">
        <v>0</v>
      </c>
      <c r="AB24" s="1471">
        <v>1</v>
      </c>
      <c r="AC24" s="1471"/>
      <c r="AD24" s="1471">
        <v>0</v>
      </c>
      <c r="AE24" s="1458">
        <f>IF(B24="","",COUNTIF(C24:P24,"&gt;0"))</f>
        <v>9</v>
      </c>
      <c r="AF24" s="1470">
        <f>SUM(Q24:W24)</f>
        <v>4</v>
      </c>
      <c r="AG24" s="1470">
        <f>SUM(CQ24:CW24)</f>
        <v>12</v>
      </c>
      <c r="AH24" s="1469">
        <f ca="1">IF(AG24=0,"X",IF(AG24&lt;LARGE(AG$2:AG$70,1)/3,"NS",RAND()*0.00001+AF24/AG24))</f>
        <v>0.33334165793805126</v>
      </c>
      <c r="AI24" s="1470">
        <f>SUM(X24:AD24)</f>
        <v>3</v>
      </c>
      <c r="AJ24" s="1470">
        <f>SUM(CX24:DD24)</f>
        <v>15</v>
      </c>
      <c r="AK24" s="1469">
        <f ca="1">IF(AJ24=0,"X",IF(AJ24&lt;LARGE(AJ$2:AJ$70,1)/4,"NS",RAND()*0.00001+AI24/AJ24))</f>
        <v>0.2000063887437061</v>
      </c>
      <c r="AL24" s="1470">
        <f>SUM(Q24:AD24)</f>
        <v>7</v>
      </c>
      <c r="AM24" s="1470">
        <f>SUM(CQ24:DD24)</f>
        <v>27</v>
      </c>
      <c r="AN24" s="1469">
        <f ca="1">IF(AM24=0,"X",IF(AM24&lt;LARGE(AM$2:AM$70,1)/3,"NS",RAND()*0.00001+AL24/AM24))</f>
        <v>0.25926128008853938</v>
      </c>
      <c r="AO24" s="1437">
        <f ca="1">IF(B24="",10,B24+RAND()*0.01)</f>
        <v>6.0008591799671684</v>
      </c>
      <c r="AP24" s="1437">
        <f ca="1">IF(AND(C24="",J24=""),"e",IF(J24="",IF($BD$1&lt;=7,C24+RAND()*0.01,"e"),J24+RAND()*0.01))</f>
        <v>6.0004153634096538</v>
      </c>
      <c r="AQ24" s="1437" t="str">
        <f ca="1">IF(AND(D24="",K24=""),"e",IF(K24="",IF($BD$1&lt;=7,D24+RAND()*0.01,"e"),K24+RAND()*0.01))</f>
        <v>e</v>
      </c>
      <c r="AR24" s="1437">
        <f ca="1">IF(AND(E24="",L24=""),"e",IF(L24="",IF($BD$1&lt;=7,E24+RAND()*0.01,"e"),L24+RAND()*0.01))</f>
        <v>6.0012219887613849</v>
      </c>
      <c r="AS24" s="1437">
        <f ca="1">IF(AND(F24="",M24=""),"e",IF(M24="",IF($BD$1&lt;=7,F24+RAND()*0.01,"e"),M24+RAND()*0.01))</f>
        <v>6.0003525452103439</v>
      </c>
      <c r="AT24" s="1437">
        <f ca="1">IF(AND(G24="",N24=""),"e",IF(N24="",IF($BD$1&lt;=7,G24+RAND()*0.01,"e"),N24+RAND()*0.01))</f>
        <v>6.0041415706565644</v>
      </c>
      <c r="AU24" s="1437" t="str">
        <f ca="1">IF(AND(H24="",O24=""),"e",IF(O24="",IF($BD$1&lt;=7,H24+RAND()*0.01,"e"),O24+RAND()*0.01))</f>
        <v>e</v>
      </c>
      <c r="AV24" s="1437">
        <f ca="1">IF(AND(I24="",P24=""),"e",IF(P24="",IF($BD$1&lt;=7,I24+RAND()*0.01,"e"),P24+RAND()*0.01))</f>
        <v>5.0032812313719051</v>
      </c>
      <c r="AW24" s="1437"/>
      <c r="AX24" s="1436" t="str">
        <f>A24</f>
        <v>Le Cam Corentin</v>
      </c>
      <c r="AY24" s="1580" t="str">
        <f>IF(OR($H$2&gt;0,$H$3&gt;0,$H$4&gt;0,$H$5&gt;0,$H$6&gt;0,$H$7&gt;0,$H$8&gt;0,$H$2&gt;0),"",IF(COUNTIF(C24:H24,"")&gt;=5,"",IF(COUNTIF(C24:H24,SMALL(C24:H24,1))&gt;=2,SMALL(C24:H24,1),SMALL(C24:H24,2))))</f>
        <v/>
      </c>
      <c r="AZ24" s="1581">
        <f>IF(COUNTIF(J24:O24,"")&gt;=5,"",IF(COUNTIF(J24:O24,SMALL(J24:O24,1))&gt;=2,SMALL(J24:O24,1),SMALL(J24:O24,2)))</f>
        <v>6</v>
      </c>
      <c r="BA24" s="1401"/>
      <c r="BB24" s="1486" t="str">
        <f>[10]clt!BN38</f>
        <v>Clt</v>
      </c>
      <c r="BC24" s="1485" t="str">
        <f>[10]clt!BO38</f>
        <v>MTT 5:  D3    E</v>
      </c>
      <c r="BD24" s="1484" t="str">
        <f>[10]clt!BP38</f>
        <v>Pts</v>
      </c>
      <c r="BE24" s="1484" t="str">
        <f>[10]clt!BQ38</f>
        <v>Joués</v>
      </c>
      <c r="BF24" s="1483" t="str">
        <f>[10]clt!BR38</f>
        <v>vic</v>
      </c>
      <c r="BG24" s="1483" t="s">
        <v>174</v>
      </c>
      <c r="BH24" s="1483" t="s">
        <v>175</v>
      </c>
      <c r="BI24" s="1483" t="str">
        <f>[10]clt!BU38</f>
        <v>PG</v>
      </c>
      <c r="BJ24" s="1483" t="str">
        <f>[10]clt!BV38</f>
        <v>PP</v>
      </c>
      <c r="BK24" s="1487"/>
      <c r="BL24" s="1486" t="s">
        <v>17</v>
      </c>
      <c r="BM24" s="1485" t="str">
        <f>[10]clt!BO47</f>
        <v>MTT 6:  D3    G</v>
      </c>
      <c r="BN24" s="1484" t="str">
        <f>[10]clt!V47</f>
        <v>Pts</v>
      </c>
      <c r="BO24" s="1484" t="str">
        <f>[10]clt!W47</f>
        <v>Joués</v>
      </c>
      <c r="BP24" s="1483" t="str">
        <f>[10]clt!X47</f>
        <v>vict</v>
      </c>
      <c r="BQ24" s="1483" t="str">
        <f>[10]clt!Y47</f>
        <v>nul</v>
      </c>
      <c r="BR24" s="1483" t="str">
        <f>[10]clt!Z47</f>
        <v>déf</v>
      </c>
      <c r="BS24" s="1483" t="str">
        <f>[10]clt!AA47</f>
        <v>PG</v>
      </c>
      <c r="BT24" s="1483" t="str">
        <f>[10]clt!AB47</f>
        <v>PP</v>
      </c>
      <c r="BU24" s="1434"/>
      <c r="BV24" s="1401"/>
      <c r="BW24" s="1401"/>
      <c r="BX24" s="1401"/>
      <c r="BY24" s="561">
        <f ca="1">IF($BD$1&lt;=7,COUNTIF($C24:$I24,"1")+RAND()*0.0001,COUNTIF($J24:$P24,"1")+RAND()*0.0001)</f>
        <v>3.51106791284984E-5</v>
      </c>
      <c r="BZ24" s="561" t="str">
        <f ca="1">IF(BY24&lt;1,"",AX24)</f>
        <v/>
      </c>
      <c r="CA24" s="561">
        <f ca="1">IF($BD$1&lt;=7,COUNTIF($C24:$I24,"2")+RAND()*0.0001,COUNTIF($J24:$P24,"2")+RAND()*0.0001)</f>
        <v>5.6614761660535285E-5</v>
      </c>
      <c r="CB24" s="561" t="str">
        <f ca="1">IF(CA24&lt;1,"",AX24)</f>
        <v/>
      </c>
      <c r="CC24" s="561">
        <f ca="1">IF($BD$1&lt;=7,COUNTIF($C24:$I24,"3")+RAND()*0.0001,COUNTIF($J24:$P24,"3")+RAND()*0.0001)</f>
        <v>1.3751238546977586E-5</v>
      </c>
      <c r="CD24" s="561" t="str">
        <f ca="1">IF(CC24&lt;1,"",AX24)</f>
        <v/>
      </c>
      <c r="CE24" s="561">
        <f ca="1">IF($BD$1&lt;=7,COUNTIF($C24:$I24,"4")+RAND()*0.0001,COUNTIF($J24:$P24,"4")+RAND()*0.0001)</f>
        <v>3.8230941376128496E-5</v>
      </c>
      <c r="CF24" s="561" t="str">
        <f ca="1">IF(CE24&lt;1,"",AX24)</f>
        <v/>
      </c>
      <c r="CG24" s="561">
        <f ca="1">IF($BD$1&lt;=7,COUNTIF($C24:$I24,"5")+RAND()*0.0001,COUNTIF($J24:$P24,"5")+RAND()*0.0001)</f>
        <v>1.0000935690155819</v>
      </c>
      <c r="CH24" s="561" t="str">
        <f ca="1">IF(CG24&lt;1,"",AX24)</f>
        <v>Le Cam Corentin</v>
      </c>
      <c r="CI24" s="561">
        <f ca="1">IF($BD$1&lt;=7,COUNTIF($C24:$I24,"6")+RAND()*0.0001,COUNTIF($J24:$P24,"6")+RAND()*0.0001)</f>
        <v>4.0000685457762719</v>
      </c>
      <c r="CJ24" s="561" t="str">
        <f ca="1">IF(CI24&lt;1,"",AX24)</f>
        <v>Le Cam Corentin</v>
      </c>
      <c r="CK24" s="561">
        <f ca="1">IF($BD$1&lt;=7,COUNTIF($C24:$I24,"7")+RAND()*0.0001,COUNTIF($J24:$P24,"7")+RAND()*0.0001)</f>
        <v>9.0767648810680061E-5</v>
      </c>
      <c r="CL24" s="561" t="str">
        <f ca="1">IF(CK24&lt;1,"",AX24)</f>
        <v/>
      </c>
      <c r="CM24" s="561">
        <f ca="1">IF($BD$1&lt;=7,COUNTIF($C24:$I24,"8")+RAND()*0.0001,COUNTIF($J24:$P24,"8")+RAND()*0.0001)</f>
        <v>7.7201942291682204E-5</v>
      </c>
      <c r="CN24" s="561" t="str">
        <f ca="1">IF(CM24&lt;1,"",AX24)</f>
        <v/>
      </c>
      <c r="CO24" s="1401"/>
      <c r="CP24" s="1401">
        <f ca="1">AE24+RAND()*0.01</f>
        <v>9.0023419655326737</v>
      </c>
      <c r="CQ24" s="1433">
        <f>VLOOKUP(C24,$CO$2:$DF$11,18,FALSE)</f>
        <v>3</v>
      </c>
      <c r="CR24" s="1433">
        <f>VLOOKUP(D24,$CO$2:$DF$11,18,FALSE)</f>
        <v>3</v>
      </c>
      <c r="CS24" s="1433">
        <f>VLOOKUP(E24,$CO$2:$DF$11,18,FALSE)</f>
        <v>0</v>
      </c>
      <c r="CT24" s="1433">
        <f>VLOOKUP(F24,$CO$2:$DF$11,18,FALSE)</f>
        <v>0</v>
      </c>
      <c r="CU24" s="1433">
        <f>VLOOKUP(G24,$CO$2:$DF$11,18,FALSE)</f>
        <v>3</v>
      </c>
      <c r="CV24" s="1433">
        <f>VLOOKUP(H24,$CO$2:$DF$11,18,FALSE)</f>
        <v>3</v>
      </c>
      <c r="CW24" s="1433">
        <f>VLOOKUP(I24,$CO$2:$DF$11,18,FALSE)</f>
        <v>0</v>
      </c>
      <c r="CX24" s="1433">
        <f>VLOOKUP(J24,$CO$2:$DF$11,18,FALSE)</f>
        <v>3</v>
      </c>
      <c r="CY24" s="1433">
        <f>VLOOKUP(K24,$CO$2:$DF$11,18,FALSE)</f>
        <v>0</v>
      </c>
      <c r="CZ24" s="1433">
        <f>VLOOKUP(L24,$CO$2:$DF$11,18,FALSE)</f>
        <v>3</v>
      </c>
      <c r="DA24" s="1433">
        <f>VLOOKUP(M24,$CO$2:$DF$11,18,FALSE)</f>
        <v>3</v>
      </c>
      <c r="DB24" s="1433">
        <f>VLOOKUP(N24,$CO$2:$DF$11,18,FALSE)</f>
        <v>3</v>
      </c>
      <c r="DC24" s="1433">
        <f>VLOOKUP(O24,$CO$2:$DF$11,18,FALSE)</f>
        <v>0</v>
      </c>
      <c r="DD24" s="1433">
        <f>VLOOKUP(P24,$CO$2:$DF$11,18,FALSE)</f>
        <v>3</v>
      </c>
      <c r="DE24" s="1432">
        <f ca="1">IF(AND(DI24=0,A24=""),AL24,IF(DI24=0,AL24+VLOOKUP(AX24,[10]Critérium!$AC$49:$DE$100,81,FALSE),AL24+VLOOKUP(AX24,[10]Critérium!$B$6:$T$22,19,FALSE)+VLOOKUP(AX24,[10]Critérium!$AC$49:$DE$100,81,FALSE)))</f>
        <v>7</v>
      </c>
      <c r="DF24" s="1431"/>
      <c r="DG24" s="1429">
        <f ca="1">IF(AND(DI24=0,A24=""),AM24,IF(DI24=0,AM24+VLOOKUP(AX24,[10]Critérium!$AC$49:$DH$100,84,FALSE),AM24+VLOOKUP(AX24,[10]Critérium!$B$6:$V$22,21,FALSE)+VLOOKUP(AX24,[10]Critérium!$AC$49:$DH$100,84,FALSE)))</f>
        <v>27</v>
      </c>
      <c r="DH24" s="1430">
        <f ca="1">IF(DG24=0,0,(DE24/DG24+RAND()*0.0001))</f>
        <v>0.25932334454396089</v>
      </c>
      <c r="DI24" s="1429">
        <f>VLOOKUP(AX24,[10]liste!AN:AR,5,FALSE)</f>
        <v>0</v>
      </c>
      <c r="DJ24" s="1427">
        <f ca="1">DG24+RAND()</f>
        <v>27.449428993264043</v>
      </c>
      <c r="DK24" s="1427" t="str">
        <f>A24</f>
        <v>Le Cam Corentin</v>
      </c>
      <c r="DL24" s="1427"/>
      <c r="DM24" s="1428">
        <f>HLOOKUP($DM$1,$C$1:$P$70,24,FALSE)</f>
        <v>5</v>
      </c>
      <c r="DN24" s="1428">
        <f>HLOOKUP($DN$1,$Q$1:$AD$70,24,FALSE)</f>
        <v>0</v>
      </c>
      <c r="DO24" s="1401"/>
      <c r="DP24" s="1401"/>
      <c r="DQ24" s="1401"/>
      <c r="DR24" s="1400">
        <f>IF(SUM(C24:P24)=0,0,(AE24*10/SUM(C24:P24)/2)*AE24/21)</f>
        <v>0.39358600583090381</v>
      </c>
      <c r="DS24" s="1427"/>
      <c r="DT24" s="1444"/>
      <c r="DU24" s="1444"/>
      <c r="DV24" s="1444"/>
      <c r="DW24" s="1444"/>
      <c r="DX24" s="1444"/>
      <c r="DY24" s="1444"/>
      <c r="DZ24" s="1444"/>
      <c r="EA24" s="1444"/>
      <c r="EB24" s="1427"/>
      <c r="EC24" s="1427"/>
      <c r="ED24" s="1427"/>
      <c r="EE24" s="1427"/>
      <c r="EF24" s="1427"/>
      <c r="EG24" s="1427"/>
      <c r="EH24" s="1427"/>
      <c r="EI24" s="1427"/>
      <c r="EJ24" s="1427"/>
      <c r="EK24" s="1427"/>
      <c r="EL24" s="1427"/>
      <c r="EM24" s="1427"/>
      <c r="EN24" s="1427"/>
      <c r="EO24" s="1427"/>
      <c r="EP24" s="1427"/>
      <c r="EQ24" s="1427"/>
      <c r="ER24" s="1427"/>
      <c r="ES24" s="1427"/>
      <c r="ET24" s="1427"/>
      <c r="EU24" s="1427"/>
      <c r="EV24" s="1427"/>
      <c r="EW24" s="1427"/>
      <c r="EX24" s="1427"/>
      <c r="EY24" s="1427"/>
      <c r="EZ24" s="1427"/>
      <c r="FA24" s="1427"/>
      <c r="FB24" s="1427"/>
      <c r="FC24" s="1427"/>
      <c r="FD24" s="1427"/>
      <c r="FE24" s="1427"/>
      <c r="FF24" s="1427"/>
      <c r="FG24" s="1427"/>
      <c r="FH24" s="1427"/>
      <c r="FI24" s="1427"/>
      <c r="FJ24" s="1427"/>
      <c r="FK24" s="1427"/>
      <c r="FL24" s="1427"/>
      <c r="FM24" s="1427"/>
      <c r="FN24" s="1427"/>
      <c r="FO24" s="1427"/>
      <c r="FP24" s="1427"/>
      <c r="FQ24" s="1427"/>
    </row>
    <row r="25" spans="1:173" s="1426" customFormat="1" ht="21.95" customHeight="1">
      <c r="A25" s="1500" t="str">
        <f>[10]points!B39</f>
        <v>Boulaire Emile</v>
      </c>
      <c r="B25" s="1499">
        <v>6</v>
      </c>
      <c r="C25" s="1497">
        <v>5</v>
      </c>
      <c r="D25" s="1497">
        <v>5</v>
      </c>
      <c r="E25" s="1497">
        <v>5</v>
      </c>
      <c r="F25" s="1497"/>
      <c r="G25" s="1497"/>
      <c r="H25" s="1497">
        <v>5</v>
      </c>
      <c r="I25" s="1498">
        <v>5</v>
      </c>
      <c r="J25" s="1497">
        <v>6</v>
      </c>
      <c r="K25" s="1497">
        <v>6</v>
      </c>
      <c r="L25" s="1497">
        <v>6</v>
      </c>
      <c r="M25" s="1497">
        <v>6</v>
      </c>
      <c r="N25" s="1497"/>
      <c r="O25" s="1497">
        <v>6</v>
      </c>
      <c r="P25" s="1496"/>
      <c r="Q25" s="1494">
        <v>3</v>
      </c>
      <c r="R25" s="1493">
        <v>2</v>
      </c>
      <c r="S25" s="1493">
        <v>1</v>
      </c>
      <c r="T25" s="1493"/>
      <c r="U25" s="1493"/>
      <c r="V25" s="1493">
        <v>1</v>
      </c>
      <c r="W25" s="1495">
        <v>0</v>
      </c>
      <c r="X25" s="1494">
        <v>2</v>
      </c>
      <c r="Y25" s="1493">
        <v>2</v>
      </c>
      <c r="Z25" s="1493">
        <v>2</v>
      </c>
      <c r="AA25" s="1493">
        <v>0</v>
      </c>
      <c r="AB25" s="1493"/>
      <c r="AC25" s="1493">
        <v>2</v>
      </c>
      <c r="AD25" s="1493"/>
      <c r="AE25" s="1492">
        <f>IF(B25="","",COUNTIF(C25:P25,"&gt;0"))</f>
        <v>10</v>
      </c>
      <c r="AF25" s="1490">
        <f>SUM(Q25:W25)</f>
        <v>7</v>
      </c>
      <c r="AG25" s="1470">
        <f>SUM(CQ25:CW25)</f>
        <v>15</v>
      </c>
      <c r="AH25" s="1469">
        <f ca="1">IF(AG25=0,"X",IF(AG25&lt;LARGE(AG$2:AG$70,1)/3,"NS",RAND()*0.00001+AF25/AG25))</f>
        <v>0.46666909491816599</v>
      </c>
      <c r="AI25" s="1490">
        <f>SUM(X25:AD25)</f>
        <v>8</v>
      </c>
      <c r="AJ25" s="1490">
        <f>SUM(CX25:DD25)</f>
        <v>15</v>
      </c>
      <c r="AK25" s="1491">
        <f ca="1">IF(AJ25=0,"X",IF(AJ25&lt;LARGE(AJ$2:AJ$70,1)/4,"NS",RAND()*0.00001+AI25/AJ25))</f>
        <v>0.53333845568099614</v>
      </c>
      <c r="AL25" s="1490">
        <f>SUM(Q25:AD25)</f>
        <v>15</v>
      </c>
      <c r="AM25" s="1490">
        <f>SUM(CQ25:DD25)</f>
        <v>30</v>
      </c>
      <c r="AN25" s="1469">
        <f ca="1">IF(AM25=0,"X",IF(AM25&lt;LARGE(AM$2:AM$70,1)/3,"NS",RAND()*0.00001+AL25/AM25))</f>
        <v>0.50000510688409838</v>
      </c>
      <c r="AO25" s="1437">
        <f ca="1">IF(B25="",10,B25+RAND()*0.01)</f>
        <v>6.0057597960481077</v>
      </c>
      <c r="AP25" s="1437">
        <f ca="1">IF(AND(C25="",J25=""),"e",IF(J25="",IF($BD$1&lt;=7,C25+RAND()*0.01,"e"),J25+RAND()*0.01))</f>
        <v>6.0082282902820907</v>
      </c>
      <c r="AQ25" s="1437">
        <f ca="1">IF(AND(D25="",K25=""),"e",IF(K25="",IF($BD$1&lt;=7,D25+RAND()*0.01,"e"),K25+RAND()*0.01))</f>
        <v>6.0051506817304316</v>
      </c>
      <c r="AR25" s="1437">
        <f ca="1">IF(AND(E25="",L25=""),"e",IF(L25="",IF($BD$1&lt;=7,E25+RAND()*0.01,"e"),L25+RAND()*0.01))</f>
        <v>6.0045274192023621</v>
      </c>
      <c r="AS25" s="1437">
        <f ca="1">IF(AND(F25="",M25=""),"e",IF(M25="",IF($BD$1&lt;=7,F25+RAND()*0.01,"e"),M25+RAND()*0.01))</f>
        <v>6.0056352941654181</v>
      </c>
      <c r="AT25" s="1437" t="str">
        <f ca="1">IF(AND(G25="",N25=""),"e",IF(N25="",IF($BD$1&lt;=7,G25+RAND()*0.01,"e"),N25+RAND()*0.01))</f>
        <v>e</v>
      </c>
      <c r="AU25" s="1437">
        <f ca="1">IF(AND(H25="",O25=""),"e",IF(O25="",IF($BD$1&lt;=7,H25+RAND()*0.01,"e"),O25+RAND()*0.01))</f>
        <v>6.0074430220049724</v>
      </c>
      <c r="AV25" s="1437" t="str">
        <f ca="1">IF(AND(I25="",P25=""),"e",IF(P25="",IF($BD$1&lt;=7,I25+RAND()*0.01,"e"),P25+RAND()*0.01))</f>
        <v>e</v>
      </c>
      <c r="AW25" s="1437"/>
      <c r="AX25" s="1436" t="str">
        <f>A25</f>
        <v>Boulaire Emile</v>
      </c>
      <c r="AY25" s="1580" t="str">
        <f>IF(OR($H$2&gt;0,$H$3&gt;0,$H$4&gt;0,$H$5&gt;0,$H$6&gt;0,$H$7&gt;0,$H$8&gt;0,$H$2&gt;0),"",IF(COUNTIF(C25:H25,"")&gt;=5,"",IF(COUNTIF(C25:H25,SMALL(C25:H25,1))&gt;=2,SMALL(C25:H25,1),SMALL(C25:H25,2))))</f>
        <v/>
      </c>
      <c r="AZ25" s="1581">
        <f>IF(COUNTIF(J25:O25,"")&gt;=5,"",IF(COUNTIF(J25:O25,SMALL(J25:O25,1))&gt;=2,SMALL(J25:O25,1),SMALL(J25:O25,2)))</f>
        <v>6</v>
      </c>
      <c r="BA25" s="1401"/>
      <c r="BB25" s="1482">
        <v>1</v>
      </c>
      <c r="BC25" s="1478" t="str">
        <f ca="1">IF($BD$1&lt;=7,[10]clt!U39,[10]clt!BO39)</f>
        <v>BAUD TT 1</v>
      </c>
      <c r="BD25" s="1481">
        <f ca="1">IF($BD$1&lt;=7,[10]clt!V39,[10]clt!BP39)</f>
        <v>21.000076172321862</v>
      </c>
      <c r="BE25" s="1480">
        <f ca="1">IF($BD$1&lt;=7,[10]clt!W39,[10]clt!BQ39)</f>
        <v>7</v>
      </c>
      <c r="BF25" s="1480">
        <f ca="1">IF($BD$1&lt;=7,[10]clt!X39,[10]clt!BR39)</f>
        <v>7</v>
      </c>
      <c r="BG25" s="1480">
        <f ca="1">IF($BD$1&lt;=7,[10]clt!Y39,[10]clt!BS39)</f>
        <v>0</v>
      </c>
      <c r="BH25" s="1480">
        <f ca="1">IF($BD$1&lt;=7,[10]clt!Z39,[10]clt!BT39)</f>
        <v>0</v>
      </c>
      <c r="BI25" s="1480">
        <f ca="1">IF($BD$1&lt;=7,[10]clt!AA39,[10]clt!BU39)</f>
        <v>75</v>
      </c>
      <c r="BJ25" s="1480">
        <f ca="1">IF($BD$1&lt;=7,[10]clt!AB39,[10]clt!BV39)</f>
        <v>23</v>
      </c>
      <c r="BK25" s="1461"/>
      <c r="BL25" s="1482">
        <v>1</v>
      </c>
      <c r="BM25" s="1478" t="str">
        <f ca="1">IF($BD$1&lt;=7,[10]clt!U48,[10]clt!BO48)</f>
        <v>SENE TT 3</v>
      </c>
      <c r="BN25" s="1481">
        <f ca="1">IF($BD$1&lt;=7,[10]clt!V48,[10]clt!BP48)</f>
        <v>21.000012966600476</v>
      </c>
      <c r="BO25" s="1480">
        <f ca="1">IF($BD$1&lt;=7,[10]clt!W48,[10]clt!BQ48)</f>
        <v>7</v>
      </c>
      <c r="BP25" s="1480">
        <f ca="1">IF($BD$1&lt;=7,[10]clt!X48,[10]clt!BR48)</f>
        <v>7</v>
      </c>
      <c r="BQ25" s="1480">
        <f ca="1">IF($BD$1&lt;=7,[10]clt!Z48,[10]clt!BT48)</f>
        <v>0</v>
      </c>
      <c r="BR25" s="1480">
        <f ca="1">IF($BD$1&lt;=7,[10]clt!Y48,[10]clt!BS48)</f>
        <v>0</v>
      </c>
      <c r="BS25" s="1480">
        <f ca="1">IF($BD$1&lt;=7,[10]clt!AA48,[10]clt!BU48)</f>
        <v>80</v>
      </c>
      <c r="BT25" s="1480">
        <f ca="1">IF($BD$1&lt;=7,[10]clt!AB48,[10]clt!BV48)</f>
        <v>18</v>
      </c>
      <c r="BU25" s="1434"/>
      <c r="BV25" s="1401"/>
      <c r="BW25" s="1401"/>
      <c r="BX25" s="1401"/>
      <c r="BY25" s="561">
        <f ca="1">IF($BD$1&lt;=7,COUNTIF($C25:$I25,"1")+RAND()*0.0001,COUNTIF($J25:$P25,"1")+RAND()*0.0001)</f>
        <v>4.3315862969659295E-5</v>
      </c>
      <c r="BZ25" s="561" t="str">
        <f ca="1">IF(BY25&lt;1,"",AX25)</f>
        <v/>
      </c>
      <c r="CA25" s="561">
        <f ca="1">IF($BD$1&lt;=7,COUNTIF($C25:$I25,"2")+RAND()*0.0001,COUNTIF($J25:$P25,"2")+RAND()*0.0001)</f>
        <v>7.164824463863107E-6</v>
      </c>
      <c r="CB25" s="561" t="str">
        <f ca="1">IF(CA25&lt;1,"",AX25)</f>
        <v/>
      </c>
      <c r="CC25" s="561">
        <f ca="1">IF($BD$1&lt;=7,COUNTIF($C25:$I25,"3")+RAND()*0.0001,COUNTIF($J25:$P25,"3")+RAND()*0.0001)</f>
        <v>5.78907915538309E-5</v>
      </c>
      <c r="CD25" s="561" t="str">
        <f ca="1">IF(CC25&lt;1,"",AX25)</f>
        <v/>
      </c>
      <c r="CE25" s="561">
        <f ca="1">IF($BD$1&lt;=7,COUNTIF($C25:$I25,"4")+RAND()*0.0001,COUNTIF($J25:$P25,"4")+RAND()*0.0001)</f>
        <v>9.026962707150842E-5</v>
      </c>
      <c r="CF25" s="561" t="str">
        <f ca="1">IF(CE25&lt;1,"",AX25)</f>
        <v/>
      </c>
      <c r="CG25" s="561">
        <f ca="1">IF($BD$1&lt;=7,COUNTIF($C25:$I25,"5")+RAND()*0.0001,COUNTIF($J25:$P25,"5")+RAND()*0.0001)</f>
        <v>6.8116105719452123E-5</v>
      </c>
      <c r="CH25" s="561" t="str">
        <f ca="1">IF(CG25&lt;1,"",AX25)</f>
        <v/>
      </c>
      <c r="CI25" s="561">
        <f ca="1">IF($BD$1&lt;=7,COUNTIF($C25:$I25,"6")+RAND()*0.0001,COUNTIF($J25:$P25,"6")+RAND()*0.0001)</f>
        <v>5.0000347859205592</v>
      </c>
      <c r="CJ25" s="561" t="str">
        <f ca="1">IF(CI25&lt;1,"",AX25)</f>
        <v>Boulaire Emile</v>
      </c>
      <c r="CK25" s="561">
        <f ca="1">IF($BD$1&lt;=7,COUNTIF($C25:$I25,"7")+RAND()*0.0001,COUNTIF($J25:$P25,"7")+RAND()*0.0001)</f>
        <v>1.8935729259328059E-5</v>
      </c>
      <c r="CL25" s="561" t="str">
        <f ca="1">IF(CK25&lt;1,"",AX25)</f>
        <v/>
      </c>
      <c r="CM25" s="561">
        <f ca="1">IF($BD$1&lt;=7,COUNTIF($C25:$I25,"8")+RAND()*0.0001,COUNTIF($J25:$P25,"8")+RAND()*0.0001)</f>
        <v>4.4123718951360757E-5</v>
      </c>
      <c r="CN25" s="561" t="str">
        <f ca="1">IF(CM25&lt;1,"",AX25)</f>
        <v/>
      </c>
      <c r="CO25" s="1401"/>
      <c r="CP25" s="1401">
        <f ca="1">AE25+RAND()*0.01</f>
        <v>10.007542326962856</v>
      </c>
      <c r="CQ25" s="1433">
        <f>VLOOKUP(C25,$CO$2:$DF$11,18,FALSE)</f>
        <v>3</v>
      </c>
      <c r="CR25" s="1433">
        <f>VLOOKUP(D25,$CO$2:$DF$11,18,FALSE)</f>
        <v>3</v>
      </c>
      <c r="CS25" s="1433">
        <f>VLOOKUP(E25,$CO$2:$DF$11,18,FALSE)</f>
        <v>3</v>
      </c>
      <c r="CT25" s="1433">
        <f>VLOOKUP(F25,$CO$2:$DF$11,18,FALSE)</f>
        <v>0</v>
      </c>
      <c r="CU25" s="1433">
        <f>VLOOKUP(G25,$CO$2:$DF$11,18,FALSE)</f>
        <v>0</v>
      </c>
      <c r="CV25" s="1433">
        <f>VLOOKUP(H25,$CO$2:$DF$11,18,FALSE)</f>
        <v>3</v>
      </c>
      <c r="CW25" s="1433">
        <f>VLOOKUP(I25,$CO$2:$DF$11,18,FALSE)</f>
        <v>3</v>
      </c>
      <c r="CX25" s="1433">
        <f>VLOOKUP(J25,$CO$2:$DF$11,18,FALSE)</f>
        <v>3</v>
      </c>
      <c r="CY25" s="1433">
        <f>VLOOKUP(K25,$CO$2:$DF$11,18,FALSE)</f>
        <v>3</v>
      </c>
      <c r="CZ25" s="1433">
        <f>VLOOKUP(L25,$CO$2:$DF$11,18,FALSE)</f>
        <v>3</v>
      </c>
      <c r="DA25" s="1433">
        <f>VLOOKUP(M25,$CO$2:$DF$11,18,FALSE)</f>
        <v>3</v>
      </c>
      <c r="DB25" s="1433">
        <f>VLOOKUP(N25,$CO$2:$DF$11,18,FALSE)</f>
        <v>0</v>
      </c>
      <c r="DC25" s="1433">
        <f>VLOOKUP(O25,$CO$2:$DF$11,18,FALSE)</f>
        <v>3</v>
      </c>
      <c r="DD25" s="1433">
        <f>VLOOKUP(P25,$CO$2:$DF$11,18,FALSE)</f>
        <v>0</v>
      </c>
      <c r="DE25" s="1432">
        <f ca="1">IF(AND(DI25=0,A25=""),AL25,IF(DI25=0,AL25+VLOOKUP(AX25,[10]Critérium!$AC$49:$DE$100,81,FALSE),AL25+VLOOKUP(AX25,[10]Critérium!$B$6:$T$22,19,FALSE)+VLOOKUP(AX25,[10]Critérium!$AC$49:$DE$100,81,FALSE)))</f>
        <v>15</v>
      </c>
      <c r="DF25" s="1431"/>
      <c r="DG25" s="1429">
        <f ca="1">IF(AND(DI25=0,A25=""),AM25,IF(DI25=0,AM25+VLOOKUP(AX25,[10]Critérium!$AC$49:$DH$100,84,FALSE),AM25+VLOOKUP(AX25,[10]Critérium!$B$6:$V$22,21,FALSE)+VLOOKUP(AX25,[10]Critérium!$AC$49:$DH$100,84,FALSE)))</f>
        <v>30</v>
      </c>
      <c r="DH25" s="1430">
        <f ca="1">IF(DG25=0,0,(DE25/DG25+RAND()*0.0001))</f>
        <v>0.50000281462673379</v>
      </c>
      <c r="DI25" s="1429">
        <f>VLOOKUP(AX25,[10]liste!AN:AR,5,FALSE)</f>
        <v>0</v>
      </c>
      <c r="DJ25" s="1427">
        <f ca="1">DG25+RAND()</f>
        <v>30.967485496975726</v>
      </c>
      <c r="DK25" s="1427" t="str">
        <f>A25</f>
        <v>Boulaire Emile</v>
      </c>
      <c r="DL25" s="1427"/>
      <c r="DM25" s="1428">
        <f>HLOOKUP($DM$1,$C$1:$P$70,25,FALSE)</f>
        <v>0</v>
      </c>
      <c r="DN25" s="1428">
        <f>HLOOKUP($DN$1,$Q$1:$AD$70,25,FALSE)</f>
        <v>0</v>
      </c>
      <c r="DO25" s="1401"/>
      <c r="DP25" s="1401"/>
      <c r="DQ25" s="1401"/>
      <c r="DR25" s="1400">
        <f>IF(SUM(C25:P25)=0,0,(AE25*10/SUM(C25:P25)/2)*AE25/21)</f>
        <v>0.43290043290043284</v>
      </c>
      <c r="DS25" s="1427"/>
      <c r="DT25" s="1444"/>
      <c r="DU25" s="1444"/>
      <c r="DV25" s="1444"/>
      <c r="DW25" s="1444"/>
      <c r="DX25" s="1444"/>
      <c r="DY25" s="1444"/>
      <c r="DZ25" s="1444"/>
      <c r="EA25" s="1444"/>
      <c r="EB25" s="1427"/>
      <c r="EC25" s="1427"/>
      <c r="ED25" s="1427"/>
      <c r="EE25" s="1427"/>
      <c r="EF25" s="1427"/>
      <c r="EG25" s="1427"/>
      <c r="EH25" s="1427"/>
      <c r="EI25" s="1427"/>
      <c r="EJ25" s="1427"/>
      <c r="EK25" s="1427"/>
      <c r="EL25" s="1427"/>
      <c r="EM25" s="1427"/>
      <c r="EN25" s="1427"/>
      <c r="EO25" s="1427"/>
      <c r="EP25" s="1427"/>
      <c r="EQ25" s="1427"/>
      <c r="ER25" s="1427"/>
      <c r="ES25" s="1427"/>
      <c r="ET25" s="1427"/>
      <c r="EU25" s="1427"/>
      <c r="EV25" s="1427"/>
      <c r="EW25" s="1427"/>
      <c r="EX25" s="1427"/>
      <c r="EY25" s="1427"/>
      <c r="EZ25" s="1427"/>
      <c r="FA25" s="1427"/>
      <c r="FB25" s="1427"/>
      <c r="FC25" s="1427"/>
      <c r="FD25" s="1427"/>
      <c r="FE25" s="1427"/>
      <c r="FF25" s="1427"/>
      <c r="FG25" s="1427"/>
      <c r="FH25" s="1427"/>
      <c r="FI25" s="1427"/>
      <c r="FJ25" s="1427"/>
      <c r="FK25" s="1427"/>
      <c r="FL25" s="1427"/>
      <c r="FM25" s="1427"/>
      <c r="FN25" s="1427"/>
      <c r="FO25" s="1427"/>
      <c r="FP25" s="1427"/>
      <c r="FQ25" s="1427"/>
    </row>
    <row r="26" spans="1:173" s="1426" customFormat="1" ht="21.95" customHeight="1">
      <c r="A26" s="1477" t="str">
        <f>[10]points!B48</f>
        <v>Lorho Mathieu</v>
      </c>
      <c r="B26" s="1476">
        <v>6</v>
      </c>
      <c r="C26" s="1428">
        <v>5</v>
      </c>
      <c r="D26" s="1428"/>
      <c r="E26" s="1428"/>
      <c r="F26" s="1428"/>
      <c r="G26" s="1428">
        <v>5</v>
      </c>
      <c r="H26" s="1428">
        <v>5</v>
      </c>
      <c r="I26" s="1475">
        <v>5</v>
      </c>
      <c r="J26" s="1428"/>
      <c r="K26" s="1428"/>
      <c r="L26" s="1428"/>
      <c r="M26" s="1428">
        <v>6</v>
      </c>
      <c r="N26" s="1428">
        <v>6</v>
      </c>
      <c r="O26" s="1428">
        <v>6</v>
      </c>
      <c r="P26" s="1474">
        <v>6</v>
      </c>
      <c r="Q26" s="1472">
        <v>1</v>
      </c>
      <c r="R26" s="1471"/>
      <c r="S26" s="1471"/>
      <c r="T26" s="1471"/>
      <c r="U26" s="1471">
        <v>2</v>
      </c>
      <c r="V26" s="1471">
        <v>1</v>
      </c>
      <c r="W26" s="1473">
        <v>0</v>
      </c>
      <c r="X26" s="1472"/>
      <c r="Y26" s="1471"/>
      <c r="Z26" s="1471"/>
      <c r="AA26" s="1471">
        <v>3</v>
      </c>
      <c r="AB26" s="1471">
        <v>3</v>
      </c>
      <c r="AC26" s="1471">
        <v>2</v>
      </c>
      <c r="AD26" s="1471">
        <v>0</v>
      </c>
      <c r="AE26" s="1458">
        <f>IF(B26="","",COUNTIF(C26:P26,"&gt;0"))</f>
        <v>8</v>
      </c>
      <c r="AF26" s="1470">
        <f>SUM(Q26:W26)</f>
        <v>4</v>
      </c>
      <c r="AG26" s="1470">
        <f>SUM(CQ26:CW26)</f>
        <v>12</v>
      </c>
      <c r="AH26" s="1469">
        <f ca="1">IF(AG26=0,"X",IF(AG26&lt;LARGE(AG$2:AG$70,1)/3,"NS",RAND()*0.00001+AF26/AG26))</f>
        <v>0.333343305243195</v>
      </c>
      <c r="AI26" s="1470">
        <f>SUM(X26:AD26)</f>
        <v>8</v>
      </c>
      <c r="AJ26" s="1470">
        <f>SUM(CX26:DD26)</f>
        <v>12</v>
      </c>
      <c r="AK26" s="1469">
        <f ca="1">IF(AJ26=0,"X",IF(AJ26&lt;LARGE(AJ$2:AJ$70,1)/4,"NS",RAND()*0.00001+AI26/AJ26))</f>
        <v>0.66667040710968917</v>
      </c>
      <c r="AL26" s="1470">
        <f>SUM(Q26:AD26)</f>
        <v>12</v>
      </c>
      <c r="AM26" s="1470">
        <f>SUM(CQ26:DD26)</f>
        <v>24</v>
      </c>
      <c r="AN26" s="1469">
        <f ca="1">IF(AM26=0,"X",IF(AM26&lt;LARGE(AM$2:AM$70,1)/3,"NS",RAND()*0.00001+AL26/AM26))</f>
        <v>0.50000474754228363</v>
      </c>
      <c r="AO26" s="1437">
        <f ca="1">IF(B26="",10,B26+RAND()*0.01)</f>
        <v>6.0064759158467913</v>
      </c>
      <c r="AP26" s="1437" t="str">
        <f ca="1">IF(AND(C26="",J26=""),"e",IF(J26="",IF($BD$1&lt;=7,C26+RAND()*0.01,"e"),J26+RAND()*0.01))</f>
        <v>e</v>
      </c>
      <c r="AQ26" s="1437" t="str">
        <f ca="1">IF(AND(D26="",K26=""),"e",IF(K26="",IF($BD$1&lt;=7,D26+RAND()*0.01,"e"),K26+RAND()*0.01))</f>
        <v>e</v>
      </c>
      <c r="AR26" s="1437" t="str">
        <f ca="1">IF(AND(E26="",L26=""),"e",IF(L26="",IF($BD$1&lt;=7,E26+RAND()*0.01,"e"),L26+RAND()*0.01))</f>
        <v>e</v>
      </c>
      <c r="AS26" s="1437">
        <f ca="1">IF(AND(F26="",M26=""),"e",IF(M26="",IF($BD$1&lt;=7,F26+RAND()*0.01,"e"),M26+RAND()*0.01))</f>
        <v>6.0084864264100712</v>
      </c>
      <c r="AT26" s="1437">
        <f ca="1">IF(AND(G26="",N26=""),"e",IF(N26="",IF($BD$1&lt;=7,G26+RAND()*0.01,"e"),N26+RAND()*0.01))</f>
        <v>6.0059697394915119</v>
      </c>
      <c r="AU26" s="1437">
        <f ca="1">IF(AND(H26="",O26=""),"e",IF(O26="",IF($BD$1&lt;=7,H26+RAND()*0.01,"e"),O26+RAND()*0.01))</f>
        <v>6.0063965761317171</v>
      </c>
      <c r="AV26" s="1437">
        <f ca="1">IF(AND(I26="",P26=""),"e",IF(P26="",IF($BD$1&lt;=7,I26+RAND()*0.01,"e"),P26+RAND()*0.01))</f>
        <v>6.0056345640816318</v>
      </c>
      <c r="AW26" s="1437"/>
      <c r="AX26" s="1436" t="str">
        <f>A26</f>
        <v>Lorho Mathieu</v>
      </c>
      <c r="AY26" s="1580" t="str">
        <f>IF(OR($H$2&gt;0,$H$3&gt;0,$H$4&gt;0,$H$5&gt;0,$H$6&gt;0,$H$7&gt;0,$H$8&gt;0,$H$2&gt;0),"",IF(COUNTIF(C26:H26,"")&gt;=5,"",IF(COUNTIF(C26:H26,SMALL(C26:H26,1))&gt;=2,SMALL(C26:H26,1),SMALL(C26:H26,2))))</f>
        <v/>
      </c>
      <c r="AZ26" s="1581">
        <f>IF(COUNTIF(J26:O26,"")&gt;=5,"",IF(COUNTIF(J26:O26,SMALL(J26:O26,1))&gt;=2,SMALL(J26:O26,1),SMALL(J26:O26,2)))</f>
        <v>6</v>
      </c>
      <c r="BA26" s="1401"/>
      <c r="BB26" s="1482">
        <f ca="1">IF(ROUND(BD26,0)=ROUND(BD25,0),"-",2)</f>
        <v>2</v>
      </c>
      <c r="BC26" s="1478" t="str">
        <f ca="1">IF($BD$1&lt;=7,[10]clt!U40,[10]clt!BO40)</f>
        <v>TT RHUYS 2</v>
      </c>
      <c r="BD26" s="1481">
        <f ca="1">IF($BD$1&lt;=7,[10]clt!V40,[10]clt!BP40)</f>
        <v>15.000070500427565</v>
      </c>
      <c r="BE26" s="1480">
        <f ca="1">IF($BD$1&lt;=7,[10]clt!W40,[10]clt!BQ40)</f>
        <v>7</v>
      </c>
      <c r="BF26" s="1480">
        <f ca="1">IF($BD$1&lt;=7,[10]clt!X40,[10]clt!BR40)</f>
        <v>4</v>
      </c>
      <c r="BG26" s="1480">
        <f ca="1">IF($BD$1&lt;=7,[10]clt!Y40,[10]clt!BS40)</f>
        <v>0</v>
      </c>
      <c r="BH26" s="1480">
        <f ca="1">IF($BD$1&lt;=7,[10]clt!Z40,[10]clt!BT40)</f>
        <v>3</v>
      </c>
      <c r="BI26" s="1480">
        <f ca="1">IF($BD$1&lt;=7,[10]clt!AA40,[10]clt!BU40)</f>
        <v>53</v>
      </c>
      <c r="BJ26" s="1480">
        <f ca="1">IF($BD$1&lt;=7,[10]clt!AB40,[10]clt!BV40)</f>
        <v>45</v>
      </c>
      <c r="BK26" s="1461"/>
      <c r="BL26" s="1482">
        <f ca="1">IF(ROUND(BN26,0)=ROUND(BN25,0),"-",2)</f>
        <v>2</v>
      </c>
      <c r="BM26" s="1478" t="str">
        <f ca="1">IF($BD$1&lt;=7,[10]clt!U49,[10]clt!BO49)</f>
        <v>MUZILLAC TT 6</v>
      </c>
      <c r="BN26" s="1481">
        <f ca="1">IF($BD$1&lt;=7,[10]clt!V49,[10]clt!BP49)</f>
        <v>18.000010791450908</v>
      </c>
      <c r="BO26" s="1480">
        <f ca="1">IF($BD$1&lt;=7,[10]clt!W49,[10]clt!BQ49)</f>
        <v>7</v>
      </c>
      <c r="BP26" s="1480">
        <f ca="1">IF($BD$1&lt;=7,[10]clt!X49,[10]clt!BR49)</f>
        <v>5</v>
      </c>
      <c r="BQ26" s="1480">
        <f ca="1">IF($BD$1&lt;=7,[10]clt!Z49,[10]clt!BT49)</f>
        <v>1</v>
      </c>
      <c r="BR26" s="1480">
        <f ca="1">IF($BD$1&lt;=7,[10]clt!Y49,[10]clt!BS49)</f>
        <v>1</v>
      </c>
      <c r="BS26" s="1480">
        <f ca="1">IF($BD$1&lt;=7,[10]clt!AA49,[10]clt!BU49)</f>
        <v>63</v>
      </c>
      <c r="BT26" s="1480">
        <f ca="1">IF($BD$1&lt;=7,[10]clt!AB49,[10]clt!BV49)</f>
        <v>35</v>
      </c>
      <c r="BU26" s="1434"/>
      <c r="BV26" s="1401"/>
      <c r="BW26" s="1401"/>
      <c r="BX26" s="1401"/>
      <c r="BY26" s="561">
        <f ca="1">IF($BD$1&lt;=7,COUNTIF($C26:$I26,"1")+RAND()*0.0001,COUNTIF($J26:$P26,"1")+RAND()*0.0001)</f>
        <v>2.0772376093316348E-5</v>
      </c>
      <c r="BZ26" s="561" t="str">
        <f ca="1">IF(BY26&lt;1,"",AX26)</f>
        <v/>
      </c>
      <c r="CA26" s="561">
        <f ca="1">IF($BD$1&lt;=7,COUNTIF($C26:$I26,"2")+RAND()*0.0001,COUNTIF($J26:$P26,"2")+RAND()*0.0001)</f>
        <v>1.7588354206765777E-5</v>
      </c>
      <c r="CB26" s="561" t="str">
        <f ca="1">IF(CA26&lt;1,"",AX26)</f>
        <v/>
      </c>
      <c r="CC26" s="561">
        <f ca="1">IF($BD$1&lt;=7,COUNTIF($C26:$I26,"3")+RAND()*0.0001,COUNTIF($J26:$P26,"3")+RAND()*0.0001)</f>
        <v>2.1444065174432183E-5</v>
      </c>
      <c r="CD26" s="561" t="str">
        <f ca="1">IF(CC26&lt;1,"",AX26)</f>
        <v/>
      </c>
      <c r="CE26" s="561">
        <f ca="1">IF($BD$1&lt;=7,COUNTIF($C26:$I26,"4")+RAND()*0.0001,COUNTIF($J26:$P26,"4")+RAND()*0.0001)</f>
        <v>6.4938383262485883E-5</v>
      </c>
      <c r="CF26" s="561" t="str">
        <f ca="1">IF(CE26&lt;1,"",AX26)</f>
        <v/>
      </c>
      <c r="CG26" s="561">
        <f ca="1">IF($BD$1&lt;=7,COUNTIF($C26:$I26,"5")+RAND()*0.0001,COUNTIF($J26:$P26,"5")+RAND()*0.0001)</f>
        <v>7.7544435216211704E-5</v>
      </c>
      <c r="CH26" s="561" t="str">
        <f ca="1">IF(CG26&lt;1,"",AX26)</f>
        <v/>
      </c>
      <c r="CI26" s="561">
        <f ca="1">IF($BD$1&lt;=7,COUNTIF($C26:$I26,"6")+RAND()*0.0001,COUNTIF($J26:$P26,"6")+RAND()*0.0001)</f>
        <v>4.0000290841419783</v>
      </c>
      <c r="CJ26" s="561" t="str">
        <f ca="1">IF(CI26&lt;1,"",AX26)</f>
        <v>Lorho Mathieu</v>
      </c>
      <c r="CK26" s="561">
        <f ca="1">IF($BD$1&lt;=7,COUNTIF($C26:$I26,"7")+RAND()*0.0001,COUNTIF($J26:$P26,"7")+RAND()*0.0001)</f>
        <v>5.5336576613472566E-5</v>
      </c>
      <c r="CL26" s="561" t="str">
        <f ca="1">IF(CK26&lt;1,"",AX26)</f>
        <v/>
      </c>
      <c r="CM26" s="561">
        <f ca="1">IF($BD$1&lt;=7,COUNTIF($C26:$I26,"8")+RAND()*0.0001,COUNTIF($J26:$P26,"8")+RAND()*0.0001)</f>
        <v>9.7769324109321065E-5</v>
      </c>
      <c r="CN26" s="561" t="str">
        <f ca="1">IF(CM26&lt;1,"",AX26)</f>
        <v/>
      </c>
      <c r="CO26" s="1401"/>
      <c r="CP26" s="1401">
        <f ca="1">AE26+RAND()*0.01</f>
        <v>8.0066317855234423</v>
      </c>
      <c r="CQ26" s="1433">
        <f>VLOOKUP(C26,$CO$2:$DF$11,18,FALSE)</f>
        <v>3</v>
      </c>
      <c r="CR26" s="1433">
        <f>VLOOKUP(D26,$CO$2:$DF$11,18,FALSE)</f>
        <v>0</v>
      </c>
      <c r="CS26" s="1433">
        <f>VLOOKUP(E26,$CO$2:$DF$11,18,FALSE)</f>
        <v>0</v>
      </c>
      <c r="CT26" s="1433">
        <f>VLOOKUP(F26,$CO$2:$DF$11,18,FALSE)</f>
        <v>0</v>
      </c>
      <c r="CU26" s="1433">
        <f>VLOOKUP(G26,$CO$2:$DF$11,18,FALSE)</f>
        <v>3</v>
      </c>
      <c r="CV26" s="1433">
        <f>VLOOKUP(H26,$CO$2:$DF$11,18,FALSE)</f>
        <v>3</v>
      </c>
      <c r="CW26" s="1433">
        <f>VLOOKUP(I26,$CO$2:$DF$11,18,FALSE)</f>
        <v>3</v>
      </c>
      <c r="CX26" s="1433">
        <f>VLOOKUP(J26,$CO$2:$DF$11,18,FALSE)</f>
        <v>0</v>
      </c>
      <c r="CY26" s="1433">
        <f>VLOOKUP(K26,$CO$2:$DF$11,18,FALSE)</f>
        <v>0</v>
      </c>
      <c r="CZ26" s="1433">
        <f>VLOOKUP(L26,$CO$2:$DF$11,18,FALSE)</f>
        <v>0</v>
      </c>
      <c r="DA26" s="1433">
        <f>VLOOKUP(M26,$CO$2:$DF$11,18,FALSE)</f>
        <v>3</v>
      </c>
      <c r="DB26" s="1433">
        <f>VLOOKUP(N26,$CO$2:$DF$11,18,FALSE)</f>
        <v>3</v>
      </c>
      <c r="DC26" s="1433">
        <f>VLOOKUP(O26,$CO$2:$DF$11,18,FALSE)</f>
        <v>3</v>
      </c>
      <c r="DD26" s="1433">
        <f>VLOOKUP(P26,$CO$2:$DF$11,18,FALSE)</f>
        <v>3</v>
      </c>
      <c r="DE26" s="1432">
        <f ca="1">IF(AND(DI26=0,A26=""),AL26,IF(DI26=0,AL26+VLOOKUP(AX26,[10]Critérium!$AC$49:$DE$100,81,FALSE),AL26+VLOOKUP(AX26,[10]Critérium!$B$6:$T$22,19,FALSE)+VLOOKUP(AX26,[10]Critérium!$AC$49:$DE$100,81,FALSE)))</f>
        <v>24</v>
      </c>
      <c r="DF26" s="1431"/>
      <c r="DG26" s="1429">
        <f ca="1">IF(AND(DI26=0,A26=""),AM26,IF(DI26=0,AM26+VLOOKUP(AX26,[10]Critérium!$AC$49:$DH$100,84,FALSE),AM26+VLOOKUP(AX26,[10]Critérium!$B$6:$V$22,21,FALSE)+VLOOKUP(AX26,[10]Critérium!$AC$49:$DH$100,84,FALSE)))</f>
        <v>51</v>
      </c>
      <c r="DH26" s="1430">
        <f ca="1">IF(DG26=0,0,(DE26/DG26+RAND()*0.0001))</f>
        <v>0.47065792402395534</v>
      </c>
      <c r="DI26" s="1429" t="str">
        <f>VLOOKUP(AX26,[10]liste!AN:AR,5,FALSE)</f>
        <v>x</v>
      </c>
      <c r="DJ26" s="1427">
        <f ca="1">DG26+RAND()</f>
        <v>51.809417997620905</v>
      </c>
      <c r="DK26" s="1427" t="str">
        <f>A26</f>
        <v>Lorho Mathieu</v>
      </c>
      <c r="DL26" s="1427"/>
      <c r="DM26" s="1428">
        <f>HLOOKUP($DM$1,$C$1:$P$70,26,FALSE)</f>
        <v>6</v>
      </c>
      <c r="DN26" s="1428">
        <f>HLOOKUP($DN$1,$Q$1:$AD$70,26,FALSE)</f>
        <v>0</v>
      </c>
      <c r="DO26" s="1401"/>
      <c r="DP26" s="1401"/>
      <c r="DQ26" s="1401"/>
      <c r="DR26" s="1400">
        <f>IF(SUM(C26:P26)=0,0,(AE26*10/SUM(C26:P26)/2)*AE26/21)</f>
        <v>0.34632034632034631</v>
      </c>
      <c r="DS26" s="1427"/>
      <c r="DT26" s="1444"/>
      <c r="DU26" s="1444"/>
      <c r="DV26" s="1444"/>
      <c r="DW26" s="1444"/>
      <c r="DX26" s="1444"/>
      <c r="DY26" s="1444"/>
      <c r="DZ26" s="1444"/>
      <c r="EA26" s="1444"/>
      <c r="EB26" s="1427"/>
      <c r="EC26" s="1427"/>
      <c r="ED26" s="1427"/>
      <c r="EE26" s="1427"/>
      <c r="EF26" s="1427"/>
      <c r="EG26" s="1427"/>
      <c r="EH26" s="1427"/>
      <c r="EI26" s="1427"/>
      <c r="EJ26" s="1427"/>
      <c r="EK26" s="1427"/>
      <c r="EL26" s="1427"/>
      <c r="EM26" s="1427"/>
      <c r="EN26" s="1427"/>
      <c r="EO26" s="1427"/>
      <c r="EP26" s="1427"/>
      <c r="EQ26" s="1427"/>
      <c r="ER26" s="1427"/>
      <c r="ES26" s="1427"/>
      <c r="ET26" s="1427"/>
      <c r="EU26" s="1427"/>
      <c r="EV26" s="1427"/>
      <c r="EW26" s="1427"/>
      <c r="EX26" s="1427"/>
      <c r="EY26" s="1427"/>
      <c r="EZ26" s="1427"/>
      <c r="FA26" s="1427"/>
      <c r="FB26" s="1427"/>
      <c r="FC26" s="1427"/>
      <c r="FD26" s="1427"/>
      <c r="FE26" s="1427"/>
      <c r="FF26" s="1427"/>
      <c r="FG26" s="1427"/>
      <c r="FH26" s="1427"/>
      <c r="FI26" s="1427"/>
      <c r="FJ26" s="1427"/>
      <c r="FK26" s="1427"/>
      <c r="FL26" s="1427"/>
      <c r="FM26" s="1427"/>
      <c r="FN26" s="1427"/>
      <c r="FO26" s="1427"/>
      <c r="FP26" s="1427"/>
      <c r="FQ26" s="1427"/>
    </row>
    <row r="27" spans="1:173" s="1426" customFormat="1" ht="21.95" customHeight="1">
      <c r="A27" s="1477" t="str">
        <f>[10]points!B33</f>
        <v>Lecossier Michel</v>
      </c>
      <c r="B27" s="1476">
        <v>6</v>
      </c>
      <c r="C27" s="1428">
        <v>4</v>
      </c>
      <c r="D27" s="1428">
        <v>4</v>
      </c>
      <c r="E27" s="1428"/>
      <c r="F27" s="1428">
        <v>4</v>
      </c>
      <c r="G27" s="1428"/>
      <c r="H27" s="1428"/>
      <c r="I27" s="1475"/>
      <c r="J27" s="1428">
        <v>6</v>
      </c>
      <c r="K27" s="1428">
        <v>6</v>
      </c>
      <c r="L27" s="1428">
        <v>6</v>
      </c>
      <c r="M27" s="1428"/>
      <c r="N27" s="1428">
        <v>6</v>
      </c>
      <c r="O27" s="1428">
        <v>6</v>
      </c>
      <c r="P27" s="1474">
        <v>6</v>
      </c>
      <c r="Q27" s="1472">
        <v>1</v>
      </c>
      <c r="R27" s="1471">
        <v>0</v>
      </c>
      <c r="S27" s="1471"/>
      <c r="T27" s="1471">
        <v>0</v>
      </c>
      <c r="U27" s="1471"/>
      <c r="V27" s="1471"/>
      <c r="W27" s="1473"/>
      <c r="X27" s="1472">
        <v>3</v>
      </c>
      <c r="Y27" s="1471">
        <v>2</v>
      </c>
      <c r="Z27" s="1471">
        <v>3</v>
      </c>
      <c r="AA27" s="1471"/>
      <c r="AB27" s="1471">
        <v>3</v>
      </c>
      <c r="AC27" s="1471">
        <v>2</v>
      </c>
      <c r="AD27" s="1471">
        <v>0</v>
      </c>
      <c r="AE27" s="1458">
        <f>IF(B27="","",COUNTIF(C27:P27,"&gt;0"))</f>
        <v>9</v>
      </c>
      <c r="AF27" s="1470">
        <f>SUM(Q27:W27)</f>
        <v>1</v>
      </c>
      <c r="AG27" s="1470">
        <f>SUM(CQ27:CW27)</f>
        <v>9</v>
      </c>
      <c r="AH27" s="1469">
        <f ca="1">IF(AG27=0,"X",IF(AG27&lt;LARGE(AG$2:AG$70,1)/3,"NS",RAND()*0.00001+AF27/AG27))</f>
        <v>0.11111303882046278</v>
      </c>
      <c r="AI27" s="1470">
        <f>SUM(X27:AD27)</f>
        <v>13</v>
      </c>
      <c r="AJ27" s="1470">
        <f>SUM(CX27:DD27)</f>
        <v>18</v>
      </c>
      <c r="AK27" s="1469">
        <f ca="1">IF(AJ27=0,"X",IF(AJ27&lt;LARGE(AJ$2:AJ$70,1)/4,"NS",RAND()*0.00001+AI27/AJ27))</f>
        <v>0.72222346804707638</v>
      </c>
      <c r="AL27" s="1470">
        <f>SUM(Q27:AD27)</f>
        <v>14</v>
      </c>
      <c r="AM27" s="1470">
        <f>SUM(CQ27:DD27)</f>
        <v>27</v>
      </c>
      <c r="AN27" s="1469">
        <f ca="1">IF(AM27=0,"X",IF(AM27&lt;LARGE(AM$2:AM$70,1)/3,"NS",RAND()*0.00001+AL27/AM27))</f>
        <v>0.51851874416479093</v>
      </c>
      <c r="AO27" s="1437">
        <f ca="1">IF(B27="",10,B27+RAND()*0.01)</f>
        <v>6.0070825456447903</v>
      </c>
      <c r="AP27" s="1437">
        <f ca="1">IF(AND(C27="",J27=""),"e",IF(J27="",IF($BD$1&lt;=7,C27+RAND()*0.01,"e"),J27+RAND()*0.01))</f>
        <v>6.0013119407014539</v>
      </c>
      <c r="AQ27" s="1437">
        <f ca="1">IF(AND(D27="",K27=""),"e",IF(K27="",IF($BD$1&lt;=7,D27+RAND()*0.01,"e"),K27+RAND()*0.01))</f>
        <v>6.008011712091303</v>
      </c>
      <c r="AR27" s="1437">
        <f ca="1">IF(AND(E27="",L27=""),"e",IF(L27="",IF($BD$1&lt;=7,E27+RAND()*0.01,"e"),L27+RAND()*0.01))</f>
        <v>6.002822388353958</v>
      </c>
      <c r="AS27" s="1437" t="str">
        <f ca="1">IF(AND(F27="",M27=""),"e",IF(M27="",IF($BD$1&lt;=7,F27+RAND()*0.01,"e"),M27+RAND()*0.01))</f>
        <v>e</v>
      </c>
      <c r="AT27" s="1437">
        <f ca="1">IF(AND(G27="",N27=""),"e",IF(N27="",IF($BD$1&lt;=7,G27+RAND()*0.01,"e"),N27+RAND()*0.01))</f>
        <v>6.0028388247327173</v>
      </c>
      <c r="AU27" s="1437">
        <f ca="1">IF(AND(H27="",O27=""),"e",IF(O27="",IF($BD$1&lt;=7,H27+RAND()*0.01,"e"),O27+RAND()*0.01))</f>
        <v>6.0002180010974309</v>
      </c>
      <c r="AV27" s="1437">
        <f ca="1">IF(AND(I27="",P27=""),"e",IF(P27="",IF($BD$1&lt;=7,I27+RAND()*0.01,"e"),P27+RAND()*0.01))</f>
        <v>6.0078888761671649</v>
      </c>
      <c r="AW27" s="1437"/>
      <c r="AX27" s="1436" t="str">
        <f>A27</f>
        <v>Lecossier Michel</v>
      </c>
      <c r="AY27" s="1580" t="str">
        <f>IF(OR($H$2&gt;0,$H$3&gt;0,$H$4&gt;0,$H$5&gt;0,$H$6&gt;0,$H$7&gt;0,$H$8&gt;0,$H$2&gt;0),"",IF(COUNTIF(C27:H27,"")&gt;=5,"",IF(COUNTIF(C27:H27,SMALL(C27:H27,1))&gt;=2,SMALL(C27:H27,1),SMALL(C27:H27,2))))</f>
        <v/>
      </c>
      <c r="AZ27" s="1581">
        <f>IF(COUNTIF(J27:O27,"")&gt;=5,"",IF(COUNTIF(J27:O27,SMALL(J27:O27,1))&gt;=2,SMALL(J27:O27,1),SMALL(J27:O27,2)))</f>
        <v>6</v>
      </c>
      <c r="BA27" s="1401"/>
      <c r="BB27" s="1482" t="str">
        <f ca="1">IF(ROUND(BD27,0)=ROUND(BD26,0),"-",3)</f>
        <v>-</v>
      </c>
      <c r="BC27" s="1478" t="str">
        <f ca="1">IF($BD$1&lt;=7,[10]clt!U41,[10]clt!BO41)</f>
        <v>MUZILLAC TT 5</v>
      </c>
      <c r="BD27" s="1481">
        <f ca="1">IF($BD$1&lt;=7,[10]clt!V41,[10]clt!BP41)</f>
        <v>15.000051858059065</v>
      </c>
      <c r="BE27" s="1480">
        <f ca="1">IF($BD$1&lt;=7,[10]clt!W41,[10]clt!BQ41)</f>
        <v>7</v>
      </c>
      <c r="BF27" s="1480">
        <f ca="1">IF($BD$1&lt;=7,[10]clt!X41,[10]clt!BR41)</f>
        <v>4</v>
      </c>
      <c r="BG27" s="1480">
        <f ca="1">IF($BD$1&lt;=7,[10]clt!Y41,[10]clt!BS41)</f>
        <v>0</v>
      </c>
      <c r="BH27" s="1480">
        <f ca="1">IF($BD$1&lt;=7,[10]clt!Z41,[10]clt!BT41)</f>
        <v>3</v>
      </c>
      <c r="BI27" s="1480">
        <f ca="1">IF($BD$1&lt;=7,[10]clt!AA41,[10]clt!BU41)</f>
        <v>54</v>
      </c>
      <c r="BJ27" s="1480">
        <f ca="1">IF($BD$1&lt;=7,[10]clt!AB41,[10]clt!BV41)</f>
        <v>44</v>
      </c>
      <c r="BK27" s="1461"/>
      <c r="BL27" s="1482">
        <f ca="1">IF(ROUND(BN27,0)=ROUND(BN26,0),"-",3)</f>
        <v>3</v>
      </c>
      <c r="BM27" s="1478" t="str">
        <f ca="1">IF($BD$1&lt;=7,[10]clt!U50,[10]clt!BO50)</f>
        <v>CTT MENIMUR 6</v>
      </c>
      <c r="BN27" s="1481">
        <f ca="1">IF($BD$1&lt;=7,[10]clt!V50,[10]clt!BP50)</f>
        <v>15.000063407774354</v>
      </c>
      <c r="BO27" s="1480">
        <f ca="1">IF($BD$1&lt;=7,[10]clt!W50,[10]clt!BQ50)</f>
        <v>7</v>
      </c>
      <c r="BP27" s="1480">
        <f ca="1">IF($BD$1&lt;=7,[10]clt!X50,[10]clt!BR50)</f>
        <v>4</v>
      </c>
      <c r="BQ27" s="1480">
        <f ca="1">IF($BD$1&lt;=7,[10]clt!Z50,[10]clt!BT50)</f>
        <v>0</v>
      </c>
      <c r="BR27" s="1480">
        <f ca="1">IF($BD$1&lt;=7,[10]clt!Y50,[10]clt!BS50)</f>
        <v>3</v>
      </c>
      <c r="BS27" s="1480">
        <f ca="1">IF($BD$1&lt;=7,[10]clt!AA50,[10]clt!BU50)</f>
        <v>60</v>
      </c>
      <c r="BT27" s="1480">
        <f ca="1">IF($BD$1&lt;=7,[10]clt!AB50,[10]clt!BV50)</f>
        <v>38</v>
      </c>
      <c r="BU27" s="1434"/>
      <c r="BV27" s="1401"/>
      <c r="BW27" s="1401"/>
      <c r="BX27" s="1401"/>
      <c r="BY27" s="561">
        <f ca="1">IF($BD$1&lt;=7,COUNTIF($C27:$I27,"1")+RAND()*0.0001,COUNTIF($J27:$P27,"1")+RAND()*0.0001)</f>
        <v>4.4108339746607882E-6</v>
      </c>
      <c r="BZ27" s="561" t="str">
        <f ca="1">IF(BY27&lt;1,"",AX27)</f>
        <v/>
      </c>
      <c r="CA27" s="561">
        <f ca="1">IF($BD$1&lt;=7,COUNTIF($C27:$I27,"2")+RAND()*0.0001,COUNTIF($J27:$P27,"2")+RAND()*0.0001)</f>
        <v>1.1734150653490639E-5</v>
      </c>
      <c r="CB27" s="561" t="str">
        <f ca="1">IF(CA27&lt;1,"",AX27)</f>
        <v/>
      </c>
      <c r="CC27" s="561">
        <f ca="1">IF($BD$1&lt;=7,COUNTIF($C27:$I27,"3")+RAND()*0.0001,COUNTIF($J27:$P27,"3")+RAND()*0.0001)</f>
        <v>6.6207675126898666E-5</v>
      </c>
      <c r="CD27" s="561" t="str">
        <f ca="1">IF(CC27&lt;1,"",AX27)</f>
        <v/>
      </c>
      <c r="CE27" s="561">
        <f ca="1">IF($BD$1&lt;=7,COUNTIF($C27:$I27,"4")+RAND()*0.0001,COUNTIF($J27:$P27,"4")+RAND()*0.0001)</f>
        <v>2.3161967495785663E-5</v>
      </c>
      <c r="CF27" s="561" t="str">
        <f ca="1">IF(CE27&lt;1,"",AX27)</f>
        <v/>
      </c>
      <c r="CG27" s="561">
        <f ca="1">IF($BD$1&lt;=7,COUNTIF($C27:$I27,"5")+RAND()*0.0001,COUNTIF($J27:$P27,"5")+RAND()*0.0001)</f>
        <v>5.4131131721018022E-6</v>
      </c>
      <c r="CH27" s="561" t="str">
        <f ca="1">IF(CG27&lt;1,"",AX27)</f>
        <v/>
      </c>
      <c r="CI27" s="561">
        <f ca="1">IF($BD$1&lt;=7,COUNTIF($C27:$I27,"6")+RAND()*0.0001,COUNTIF($J27:$P27,"6")+RAND()*0.0001)</f>
        <v>6.0000648952432369</v>
      </c>
      <c r="CJ27" s="561" t="str">
        <f ca="1">IF(CI27&lt;1,"",AX27)</f>
        <v>Lecossier Michel</v>
      </c>
      <c r="CK27" s="561">
        <f ca="1">IF($BD$1&lt;=7,COUNTIF($C27:$I27,"7")+RAND()*0.0001,COUNTIF($J27:$P27,"7")+RAND()*0.0001)</f>
        <v>9.2536793941561444E-5</v>
      </c>
      <c r="CL27" s="561" t="str">
        <f ca="1">IF(CK27&lt;1,"",AX27)</f>
        <v/>
      </c>
      <c r="CM27" s="561">
        <f ca="1">IF($BD$1&lt;=7,COUNTIF($C27:$I27,"8")+RAND()*0.0001,COUNTIF($J27:$P27,"8")+RAND()*0.0001)</f>
        <v>6.6190236155901774E-5</v>
      </c>
      <c r="CN27" s="561" t="str">
        <f ca="1">IF(CM27&lt;1,"",AX27)</f>
        <v/>
      </c>
      <c r="CO27" s="1401"/>
      <c r="CP27" s="1401">
        <f ca="1">AE27+RAND()*0.01</f>
        <v>9.0058509077195694</v>
      </c>
      <c r="CQ27" s="1433">
        <f>VLOOKUP(C27,$CO$2:$DF$11,18,FALSE)</f>
        <v>3</v>
      </c>
      <c r="CR27" s="1433">
        <f>VLOOKUP(D27,$CO$2:$DF$11,18,FALSE)</f>
        <v>3</v>
      </c>
      <c r="CS27" s="1433">
        <f>VLOOKUP(E27,$CO$2:$DF$11,18,FALSE)</f>
        <v>0</v>
      </c>
      <c r="CT27" s="1433">
        <f>VLOOKUP(F27,$CO$2:$DF$11,18,FALSE)</f>
        <v>3</v>
      </c>
      <c r="CU27" s="1433">
        <f>VLOOKUP(G27,$CO$2:$DF$11,18,FALSE)</f>
        <v>0</v>
      </c>
      <c r="CV27" s="1433">
        <f>VLOOKUP(H27,$CO$2:$DF$11,18,FALSE)</f>
        <v>0</v>
      </c>
      <c r="CW27" s="1433">
        <f>VLOOKUP(I27,$CO$2:$DF$11,18,FALSE)</f>
        <v>0</v>
      </c>
      <c r="CX27" s="1433">
        <f>VLOOKUP(J27,$CO$2:$DF$11,18,FALSE)</f>
        <v>3</v>
      </c>
      <c r="CY27" s="1433">
        <f>VLOOKUP(K27,$CO$2:$DF$11,18,FALSE)</f>
        <v>3</v>
      </c>
      <c r="CZ27" s="1433">
        <f>VLOOKUP(L27,$CO$2:$DF$11,18,FALSE)</f>
        <v>3</v>
      </c>
      <c r="DA27" s="1433">
        <f>VLOOKUP(M27,$CO$2:$DF$11,18,FALSE)</f>
        <v>0</v>
      </c>
      <c r="DB27" s="1433">
        <f>VLOOKUP(N27,$CO$2:$DF$11,18,FALSE)</f>
        <v>3</v>
      </c>
      <c r="DC27" s="1433">
        <f>VLOOKUP(O27,$CO$2:$DF$11,18,FALSE)</f>
        <v>3</v>
      </c>
      <c r="DD27" s="1433">
        <f>VLOOKUP(P27,$CO$2:$DF$11,18,FALSE)</f>
        <v>3</v>
      </c>
      <c r="DE27" s="1432">
        <f ca="1">IF(AND(DI27=0,A27=""),AL27,IF(DI27=0,AL27+VLOOKUP(AX27,[10]Critérium!$AC$49:$DE$100,81,FALSE),AL27+VLOOKUP(AX27,[10]Critérium!$B$6:$T$22,19,FALSE)+VLOOKUP(AX27,[10]Critérium!$AC$49:$DE$100,81,FALSE)))</f>
        <v>14</v>
      </c>
      <c r="DF27" s="1431"/>
      <c r="DG27" s="1429">
        <f ca="1">IF(AND(DI27=0,A27=""),AM27,IF(DI27=0,AM27+VLOOKUP(AX27,[10]Critérium!$AC$49:$DH$100,84,FALSE),AM27+VLOOKUP(AX27,[10]Critérium!$B$6:$V$22,21,FALSE)+VLOOKUP(AX27,[10]Critérium!$AC$49:$DH$100,84,FALSE)))</f>
        <v>27</v>
      </c>
      <c r="DH27" s="1430">
        <f ca="1">IF(DG27=0,0,(DE27/DG27+RAND()*0.0001))</f>
        <v>0.51859614169209578</v>
      </c>
      <c r="DI27" s="1429">
        <f>VLOOKUP(AX27,[10]liste!AN:AR,5,FALSE)</f>
        <v>0</v>
      </c>
      <c r="DJ27" s="1427">
        <f ca="1">DG27+RAND()</f>
        <v>27.61384190116565</v>
      </c>
      <c r="DK27" s="1427" t="str">
        <f>A27</f>
        <v>Lecossier Michel</v>
      </c>
      <c r="DL27" s="1427"/>
      <c r="DM27" s="1428">
        <f>HLOOKUP($DM$1,$C$1:$P$70,27,FALSE)</f>
        <v>6</v>
      </c>
      <c r="DN27" s="1428">
        <f>HLOOKUP($DN$1,$Q$1:$AD$70,27,FALSE)</f>
        <v>0</v>
      </c>
      <c r="DO27" s="1401"/>
      <c r="DP27" s="1401"/>
      <c r="DQ27" s="1401"/>
      <c r="DR27" s="1400">
        <f>IF(SUM(C27:P27)=0,0,(AE27*10/SUM(C27:P27)/2)*AE27/21)</f>
        <v>0.4017857142857143</v>
      </c>
      <c r="DS27" s="1427"/>
      <c r="DT27" s="1444"/>
      <c r="DU27" s="1444"/>
      <c r="DV27" s="1444"/>
      <c r="DW27" s="1444"/>
      <c r="DX27" s="1444"/>
      <c r="DY27" s="1444"/>
      <c r="DZ27" s="1444"/>
      <c r="EA27" s="1444"/>
      <c r="EB27" s="1427"/>
      <c r="EC27" s="1427"/>
      <c r="ED27" s="1427"/>
      <c r="EE27" s="1427"/>
      <c r="EF27" s="1427"/>
      <c r="EG27" s="1427"/>
      <c r="EH27" s="1427"/>
      <c r="EI27" s="1427"/>
      <c r="EJ27" s="1427"/>
      <c r="EK27" s="1427"/>
      <c r="EL27" s="1427"/>
      <c r="EM27" s="1427"/>
      <c r="EN27" s="1427"/>
      <c r="EO27" s="1427"/>
      <c r="EP27" s="1427"/>
      <c r="EQ27" s="1427"/>
      <c r="ER27" s="1427"/>
      <c r="ES27" s="1427"/>
      <c r="ET27" s="1427"/>
      <c r="EU27" s="1427"/>
      <c r="EV27" s="1427"/>
      <c r="EW27" s="1427"/>
      <c r="EX27" s="1427"/>
      <c r="EY27" s="1427"/>
      <c r="EZ27" s="1427"/>
      <c r="FA27" s="1427"/>
      <c r="FB27" s="1427"/>
      <c r="FC27" s="1427"/>
      <c r="FD27" s="1427"/>
      <c r="FE27" s="1427"/>
      <c r="FF27" s="1427"/>
      <c r="FG27" s="1427"/>
      <c r="FH27" s="1427"/>
      <c r="FI27" s="1427"/>
      <c r="FJ27" s="1427"/>
      <c r="FK27" s="1427"/>
      <c r="FL27" s="1427"/>
      <c r="FM27" s="1427"/>
      <c r="FN27" s="1427"/>
      <c r="FO27" s="1427"/>
      <c r="FP27" s="1427"/>
      <c r="FQ27" s="1427"/>
    </row>
    <row r="28" spans="1:173" s="1426" customFormat="1" ht="21.95" customHeight="1">
      <c r="A28" s="1477" t="str">
        <f>[10]points!B29</f>
        <v>Dayot Franck</v>
      </c>
      <c r="B28" s="1476">
        <v>6</v>
      </c>
      <c r="C28" s="1428">
        <v>5</v>
      </c>
      <c r="D28" s="1428">
        <v>5</v>
      </c>
      <c r="E28" s="1428">
        <v>5</v>
      </c>
      <c r="F28" s="1428"/>
      <c r="G28" s="1428">
        <v>5</v>
      </c>
      <c r="H28" s="1428">
        <v>5</v>
      </c>
      <c r="I28" s="1475">
        <v>5</v>
      </c>
      <c r="J28" s="1428">
        <v>6</v>
      </c>
      <c r="K28" s="1428">
        <v>6</v>
      </c>
      <c r="L28" s="1428">
        <v>6</v>
      </c>
      <c r="M28" s="1428">
        <v>6</v>
      </c>
      <c r="N28" s="1428">
        <v>6</v>
      </c>
      <c r="O28" s="1428">
        <v>6</v>
      </c>
      <c r="P28" s="1474">
        <v>6</v>
      </c>
      <c r="Q28" s="1472">
        <v>2</v>
      </c>
      <c r="R28" s="1471">
        <v>3</v>
      </c>
      <c r="S28" s="1471">
        <v>1</v>
      </c>
      <c r="T28" s="1471"/>
      <c r="U28" s="1471">
        <v>3</v>
      </c>
      <c r="V28" s="1471">
        <v>3</v>
      </c>
      <c r="W28" s="1473">
        <v>2</v>
      </c>
      <c r="X28" s="1472">
        <v>3</v>
      </c>
      <c r="Y28" s="1471">
        <v>2</v>
      </c>
      <c r="Z28" s="1471">
        <v>3</v>
      </c>
      <c r="AA28" s="1471">
        <v>3</v>
      </c>
      <c r="AB28" s="1471">
        <v>2</v>
      </c>
      <c r="AC28" s="1471">
        <v>2</v>
      </c>
      <c r="AD28" s="1471">
        <v>1</v>
      </c>
      <c r="AE28" s="1458">
        <f>IF(B28="","",COUNTIF(C28:P28,"&gt;0"))</f>
        <v>13</v>
      </c>
      <c r="AF28" s="1470">
        <f>SUM(Q28:W28)</f>
        <v>14</v>
      </c>
      <c r="AG28" s="1470">
        <f>SUM(CQ28:CW28)</f>
        <v>18</v>
      </c>
      <c r="AH28" s="1469">
        <f ca="1">IF(AG28=0,"X",IF(AG28&lt;LARGE(AG$2:AG$70,1)/3,"NS",RAND()*0.00001+AF28/AG28))</f>
        <v>0.77778708746297198</v>
      </c>
      <c r="AI28" s="1470">
        <f>SUM(X28:AD28)</f>
        <v>16</v>
      </c>
      <c r="AJ28" s="1470">
        <f>SUM(CX28:DD28)</f>
        <v>21</v>
      </c>
      <c r="AK28" s="1469">
        <f ca="1">IF(AJ28=0,"X",IF(AJ28&lt;LARGE(AJ$2:AJ$70,1)/4,"NS",RAND()*0.00001+AI28/AJ28))</f>
        <v>0.76190792007442931</v>
      </c>
      <c r="AL28" s="1470">
        <f>SUM(Q28:AD28)</f>
        <v>30</v>
      </c>
      <c r="AM28" s="1470">
        <f>SUM(CQ28:DD28)</f>
        <v>39</v>
      </c>
      <c r="AN28" s="1469">
        <f ca="1">IF(AM28=0,"X",IF(AM28&lt;LARGE(AM$2:AM$70,1)/3,"NS",RAND()*0.00001+AL28/AM28))</f>
        <v>0.76923898358826281</v>
      </c>
      <c r="AO28" s="1437">
        <f ca="1">IF(B28="",10,B28+RAND()*0.01)</f>
        <v>6.0016354304110369</v>
      </c>
      <c r="AP28" s="1437">
        <f ca="1">IF(AND(C28="",J28=""),"e",IF(J28="",IF($BD$1&lt;=7,C28+RAND()*0.01,"e"),J28+RAND()*0.01))</f>
        <v>6.0089326238853911</v>
      </c>
      <c r="AQ28" s="1437">
        <f ca="1">IF(AND(D28="",K28=""),"e",IF(K28="",IF($BD$1&lt;=7,D28+RAND()*0.01,"e"),K28+RAND()*0.01))</f>
        <v>6.0010153266551844</v>
      </c>
      <c r="AR28" s="1437">
        <f ca="1">IF(AND(E28="",L28=""),"e",IF(L28="",IF($BD$1&lt;=7,E28+RAND()*0.01,"e"),L28+RAND()*0.01))</f>
        <v>6.0006120908322673</v>
      </c>
      <c r="AS28" s="1437">
        <f ca="1">IF(AND(F28="",M28=""),"e",IF(M28="",IF($BD$1&lt;=7,F28+RAND()*0.01,"e"),M28+RAND()*0.01))</f>
        <v>6.0037929724825698</v>
      </c>
      <c r="AT28" s="1437">
        <f ca="1">IF(AND(G28="",N28=""),"e",IF(N28="",IF($BD$1&lt;=7,G28+RAND()*0.01,"e"),N28+RAND()*0.01))</f>
        <v>6.0037169091877685</v>
      </c>
      <c r="AU28" s="1437">
        <f ca="1">IF(AND(H28="",O28=""),"e",IF(O28="",IF($BD$1&lt;=7,H28+RAND()*0.01,"e"),O28+RAND()*0.01))</f>
        <v>6.0048746630719343</v>
      </c>
      <c r="AV28" s="1437">
        <f ca="1">IF(AND(I28="",P28=""),"e",IF(P28="",IF($BD$1&lt;=7,I28+RAND()*0.01,"e"),P28+RAND()*0.01))</f>
        <v>6.0060069188280369</v>
      </c>
      <c r="AW28" s="1437"/>
      <c r="AX28" s="1436" t="str">
        <f>A28</f>
        <v>Dayot Franck</v>
      </c>
      <c r="AY28" s="1580" t="str">
        <f>IF(OR($H$2&gt;0,$H$3&gt;0,$H$4&gt;0,$H$5&gt;0,$H$6&gt;0,$H$7&gt;0,$H$8&gt;0,$H$2&gt;0),"",IF(COUNTIF(C28:H28,"")&gt;=5,"",IF(COUNTIF(C28:H28,SMALL(C28:H28,1))&gt;=2,SMALL(C28:H28,1),SMALL(C28:H28,2))))</f>
        <v/>
      </c>
      <c r="AZ28" s="1581">
        <f>IF(COUNTIF(J28:O28,"")&gt;=5,"",IF(COUNTIF(J28:O28,SMALL(J28:O28,1))&gt;=2,SMALL(J28:O28,1),SMALL(J28:O28,2)))</f>
        <v>6</v>
      </c>
      <c r="BA28" s="1401"/>
      <c r="BB28" s="1482">
        <f ca="1">IF(ROUND(BD28,0)=ROUND(BD27,0),"-",4)</f>
        <v>4</v>
      </c>
      <c r="BC28" s="1478" t="str">
        <f ca="1">IF($BD$1&lt;=7,[10]clt!U42,[10]clt!BO42)</f>
        <v>ES ST-AVE 2</v>
      </c>
      <c r="BD28" s="1481">
        <f ca="1">IF($BD$1&lt;=7,[10]clt!V42,[10]clt!BP42)</f>
        <v>14.000000929825426</v>
      </c>
      <c r="BE28" s="1480">
        <f ca="1">IF($BD$1&lt;=7,[10]clt!W42,[10]clt!BQ42)</f>
        <v>7</v>
      </c>
      <c r="BF28" s="1480">
        <f ca="1">IF($BD$1&lt;=7,[10]clt!X42,[10]clt!BR42)</f>
        <v>3</v>
      </c>
      <c r="BG28" s="1480">
        <f ca="1">IF($BD$1&lt;=7,[10]clt!Y42,[10]clt!BS42)</f>
        <v>1</v>
      </c>
      <c r="BH28" s="1480">
        <f ca="1">IF($BD$1&lt;=7,[10]clt!Z42,[10]clt!BT42)</f>
        <v>3</v>
      </c>
      <c r="BI28" s="1480">
        <f ca="1">IF($BD$1&lt;=7,[10]clt!AA42,[10]clt!BU42)</f>
        <v>47</v>
      </c>
      <c r="BJ28" s="1480">
        <f ca="1">IF($BD$1&lt;=7,[10]clt!AB42,[10]clt!BV42)</f>
        <v>51</v>
      </c>
      <c r="BK28" s="1461"/>
      <c r="BL28" s="1482">
        <f ca="1">IF(ROUND(BN28,0)=ROUND(BN27,0),"-",4)</f>
        <v>4</v>
      </c>
      <c r="BM28" s="1478" t="str">
        <f ca="1">IF($BD$1&lt;=7,[10]clt!U51,[10]clt!BO51)</f>
        <v>ES ST-AVE 1</v>
      </c>
      <c r="BN28" s="1481">
        <f ca="1">IF($BD$1&lt;=7,[10]clt!V51,[10]clt!BP51)</f>
        <v>13.000074035162916</v>
      </c>
      <c r="BO28" s="1480">
        <f ca="1">IF($BD$1&lt;=7,[10]clt!W51,[10]clt!BQ51)</f>
        <v>7</v>
      </c>
      <c r="BP28" s="1480">
        <f ca="1">IF($BD$1&lt;=7,[10]clt!X51,[10]clt!BR51)</f>
        <v>2</v>
      </c>
      <c r="BQ28" s="1480">
        <f ca="1">IF($BD$1&lt;=7,[10]clt!Z51,[10]clt!BT51)</f>
        <v>2</v>
      </c>
      <c r="BR28" s="1480">
        <f ca="1">IF($BD$1&lt;=7,[10]clt!Y51,[10]clt!BS51)</f>
        <v>3</v>
      </c>
      <c r="BS28" s="1480">
        <f ca="1">IF($BD$1&lt;=7,[10]clt!AA51,[10]clt!BU51)</f>
        <v>43</v>
      </c>
      <c r="BT28" s="1480">
        <f ca="1">IF($BD$1&lt;=7,[10]clt!AB51,[10]clt!BV51)</f>
        <v>55</v>
      </c>
      <c r="BU28" s="1459"/>
      <c r="BV28" s="1401"/>
      <c r="BW28" s="1401"/>
      <c r="BX28" s="1401"/>
      <c r="BY28" s="561">
        <f ca="1">IF($BD$1&lt;=7,COUNTIF($C28:$I28,"1")+RAND()*0.0001,COUNTIF($J28:$P28,"1")+RAND()*0.0001)</f>
        <v>2.5277626269260581E-5</v>
      </c>
      <c r="BZ28" s="561" t="str">
        <f ca="1">IF(BY28&lt;1,"",AX28)</f>
        <v/>
      </c>
      <c r="CA28" s="561">
        <f ca="1">IF($BD$1&lt;=7,COUNTIF($C28:$I28,"2")+RAND()*0.0001,COUNTIF($J28:$P28,"2")+RAND()*0.0001)</f>
        <v>9.9281834858215654E-5</v>
      </c>
      <c r="CB28" s="561" t="str">
        <f ca="1">IF(CA28&lt;1,"",AX28)</f>
        <v/>
      </c>
      <c r="CC28" s="561">
        <f ca="1">IF($BD$1&lt;=7,COUNTIF($C28:$I28,"3")+RAND()*0.0001,COUNTIF($J28:$P28,"3")+RAND()*0.0001)</f>
        <v>6.1068345789102449E-5</v>
      </c>
      <c r="CD28" s="561" t="str">
        <f ca="1">IF(CC28&lt;1,"",AX28)</f>
        <v/>
      </c>
      <c r="CE28" s="561">
        <f ca="1">IF($BD$1&lt;=7,COUNTIF($C28:$I28,"4")+RAND()*0.0001,COUNTIF($J28:$P28,"4")+RAND()*0.0001)</f>
        <v>7.404245511646301E-5</v>
      </c>
      <c r="CF28" s="561" t="str">
        <f ca="1">IF(CE28&lt;1,"",AX28)</f>
        <v/>
      </c>
      <c r="CG28" s="561">
        <f ca="1">IF($BD$1&lt;=7,COUNTIF($C28:$I28,"5")+RAND()*0.0001,COUNTIF($J28:$P28,"5")+RAND()*0.0001)</f>
        <v>7.8143487993801605E-5</v>
      </c>
      <c r="CH28" s="561" t="str">
        <f ca="1">IF(CG28&lt;1,"",AX28)</f>
        <v/>
      </c>
      <c r="CI28" s="561">
        <f ca="1">IF($BD$1&lt;=7,COUNTIF($C28:$I28,"6")+RAND()*0.0001,COUNTIF($J28:$P28,"6")+RAND()*0.0001)</f>
        <v>7.0000928846389305</v>
      </c>
      <c r="CJ28" s="561" t="str">
        <f ca="1">IF(CI28&lt;1,"",AX28)</f>
        <v>Dayot Franck</v>
      </c>
      <c r="CK28" s="561">
        <f ca="1">IF($BD$1&lt;=7,COUNTIF($C28:$I28,"7")+RAND()*0.0001,COUNTIF($J28:$P28,"7")+RAND()*0.0001)</f>
        <v>9.305058831601175E-5</v>
      </c>
      <c r="CL28" s="561" t="str">
        <f ca="1">IF(CK28&lt;1,"",AX28)</f>
        <v/>
      </c>
      <c r="CM28" s="561">
        <f ca="1">IF($BD$1&lt;=7,COUNTIF($C28:$I28,"8")+RAND()*0.0001,COUNTIF($J28:$P28,"8")+RAND()*0.0001)</f>
        <v>5.9659728630130683E-5</v>
      </c>
      <c r="CN28" s="561" t="str">
        <f ca="1">IF(CM28&lt;1,"",AX28)</f>
        <v/>
      </c>
      <c r="CO28" s="1401"/>
      <c r="CP28" s="1401">
        <f ca="1">AE28+RAND()*0.01</f>
        <v>13.003053102405897</v>
      </c>
      <c r="CQ28" s="1433">
        <f>VLOOKUP(C28,$CO$2:$DF$11,18,FALSE)</f>
        <v>3</v>
      </c>
      <c r="CR28" s="1433">
        <f>VLOOKUP(D28,$CO$2:$DF$11,18,FALSE)</f>
        <v>3</v>
      </c>
      <c r="CS28" s="1433">
        <f>VLOOKUP(E28,$CO$2:$DF$11,18,FALSE)</f>
        <v>3</v>
      </c>
      <c r="CT28" s="1433">
        <f>VLOOKUP(F28,$CO$2:$DF$11,18,FALSE)</f>
        <v>0</v>
      </c>
      <c r="CU28" s="1433">
        <f>VLOOKUP(G28,$CO$2:$DF$11,18,FALSE)</f>
        <v>3</v>
      </c>
      <c r="CV28" s="1433">
        <f>VLOOKUP(H28,$CO$2:$DF$11,18,FALSE)</f>
        <v>3</v>
      </c>
      <c r="CW28" s="1433">
        <f>VLOOKUP(I28,$CO$2:$DF$11,18,FALSE)</f>
        <v>3</v>
      </c>
      <c r="CX28" s="1433">
        <f>VLOOKUP(J28,$CO$2:$DF$11,18,FALSE)</f>
        <v>3</v>
      </c>
      <c r="CY28" s="1433">
        <f>VLOOKUP(K28,$CO$2:$DF$11,18,FALSE)</f>
        <v>3</v>
      </c>
      <c r="CZ28" s="1433">
        <f>VLOOKUP(L28,$CO$2:$DF$11,18,FALSE)</f>
        <v>3</v>
      </c>
      <c r="DA28" s="1433">
        <f>VLOOKUP(M28,$CO$2:$DF$11,18,FALSE)</f>
        <v>3</v>
      </c>
      <c r="DB28" s="1433">
        <f>VLOOKUP(N28,$CO$2:$DF$11,18,FALSE)</f>
        <v>3</v>
      </c>
      <c r="DC28" s="1433">
        <f>VLOOKUP(O28,$CO$2:$DF$11,18,FALSE)</f>
        <v>3</v>
      </c>
      <c r="DD28" s="1433">
        <f>VLOOKUP(P28,$CO$2:$DF$11,18,FALSE)</f>
        <v>3</v>
      </c>
      <c r="DE28" s="1432">
        <f ca="1">IF(AND(DI28=0,A28=""),AL28,IF(DI28=0,AL28+VLOOKUP(AX28,[10]Critérium!$AC$49:$DE$100,81,FALSE),AL28+VLOOKUP(AX28,[10]Critérium!$B$6:$T$22,19,FALSE)+VLOOKUP(AX28,[10]Critérium!$AC$49:$DE$100,81,FALSE)))</f>
        <v>30</v>
      </c>
      <c r="DF28" s="1431"/>
      <c r="DG28" s="1429">
        <f ca="1">IF(AND(DI28=0,A28=""),AM28,IF(DI28=0,AM28+VLOOKUP(AX28,[10]Critérium!$AC$49:$DH$100,84,FALSE),AM28+VLOOKUP(AX28,[10]Critérium!$B$6:$V$22,21,FALSE)+VLOOKUP(AX28,[10]Critérium!$AC$49:$DH$100,84,FALSE)))</f>
        <v>39</v>
      </c>
      <c r="DH28" s="1430">
        <f ca="1">IF(DG28=0,0,(DE28/DG28+RAND()*0.0001))</f>
        <v>0.76931359724907755</v>
      </c>
      <c r="DI28" s="1429">
        <f>VLOOKUP(AX28,[10]liste!AN:AR,5,FALSE)</f>
        <v>0</v>
      </c>
      <c r="DJ28" s="1427">
        <f ca="1">DG28+RAND()</f>
        <v>39.73400558643722</v>
      </c>
      <c r="DK28" s="1427" t="str">
        <f>A28</f>
        <v>Dayot Franck</v>
      </c>
      <c r="DL28" s="1427"/>
      <c r="DM28" s="1428">
        <f>HLOOKUP($DM$1,$C$1:$P$70,28,FALSE)</f>
        <v>6</v>
      </c>
      <c r="DN28" s="1428">
        <f>HLOOKUP($DN$1,$Q$1:$AD$70,28,FALSE)</f>
        <v>1</v>
      </c>
      <c r="DO28" s="1401"/>
      <c r="DP28" s="1401"/>
      <c r="DQ28" s="1401"/>
      <c r="DR28" s="1400">
        <f>IF(SUM(C28:P28)=0,0,(AE28*10/SUM(C28:P28)/2)*AE28/21)</f>
        <v>0.55886243386243384</v>
      </c>
      <c r="DS28" s="1427"/>
      <c r="DT28" s="1444"/>
      <c r="DU28" s="1444"/>
      <c r="DV28" s="1444"/>
      <c r="DW28" s="1444"/>
      <c r="DX28" s="1444"/>
      <c r="DY28" s="1444"/>
      <c r="DZ28" s="1444"/>
      <c r="EA28" s="1444"/>
      <c r="EB28" s="1427"/>
      <c r="EC28" s="1427"/>
      <c r="ED28" s="1427"/>
      <c r="EE28" s="1427"/>
      <c r="EF28" s="1427"/>
      <c r="EG28" s="1427"/>
      <c r="EH28" s="1427"/>
      <c r="EI28" s="1427"/>
      <c r="EJ28" s="1427"/>
      <c r="EK28" s="1427"/>
      <c r="EL28" s="1427"/>
      <c r="EM28" s="1427"/>
      <c r="EN28" s="1427"/>
      <c r="EO28" s="1427"/>
      <c r="EP28" s="1427"/>
      <c r="EQ28" s="1427"/>
      <c r="ER28" s="1427"/>
      <c r="ES28" s="1427"/>
      <c r="ET28" s="1427"/>
      <c r="EU28" s="1427"/>
      <c r="EV28" s="1427"/>
      <c r="EW28" s="1427"/>
      <c r="EX28" s="1427"/>
      <c r="EY28" s="1427"/>
      <c r="EZ28" s="1427"/>
      <c r="FA28" s="1427"/>
      <c r="FB28" s="1427"/>
      <c r="FC28" s="1427"/>
      <c r="FD28" s="1427"/>
      <c r="FE28" s="1427"/>
      <c r="FF28" s="1427"/>
      <c r="FG28" s="1427"/>
      <c r="FH28" s="1427"/>
      <c r="FI28" s="1427"/>
      <c r="FJ28" s="1427"/>
      <c r="FK28" s="1427"/>
      <c r="FL28" s="1427"/>
      <c r="FM28" s="1427"/>
      <c r="FN28" s="1427"/>
      <c r="FO28" s="1427"/>
      <c r="FP28" s="1427"/>
      <c r="FQ28" s="1427"/>
    </row>
    <row r="29" spans="1:173" s="1426" customFormat="1" ht="21.95" customHeight="1">
      <c r="A29" s="1477" t="str">
        <f>[10]points!B53</f>
        <v>Zaragoza Quentin</v>
      </c>
      <c r="B29" s="1476">
        <v>7</v>
      </c>
      <c r="C29" s="1428"/>
      <c r="D29" s="1428">
        <v>7</v>
      </c>
      <c r="E29" s="1428">
        <v>7</v>
      </c>
      <c r="F29" s="1428">
        <v>7</v>
      </c>
      <c r="G29" s="1428">
        <v>7</v>
      </c>
      <c r="H29" s="1428">
        <v>7</v>
      </c>
      <c r="I29" s="1475">
        <v>7</v>
      </c>
      <c r="J29" s="1428">
        <v>7</v>
      </c>
      <c r="K29" s="1428">
        <v>7</v>
      </c>
      <c r="L29" s="1428">
        <v>7</v>
      </c>
      <c r="M29" s="1428">
        <v>7</v>
      </c>
      <c r="N29" s="1428">
        <v>7</v>
      </c>
      <c r="O29" s="1428"/>
      <c r="P29" s="1474">
        <v>7</v>
      </c>
      <c r="Q29" s="1472"/>
      <c r="R29" s="1471">
        <v>2</v>
      </c>
      <c r="S29" s="1471">
        <v>1</v>
      </c>
      <c r="T29" s="1471">
        <v>2</v>
      </c>
      <c r="U29" s="1471">
        <v>0</v>
      </c>
      <c r="V29" s="1471">
        <v>2</v>
      </c>
      <c r="W29" s="1473">
        <v>1</v>
      </c>
      <c r="X29" s="1472">
        <v>0</v>
      </c>
      <c r="Y29" s="1471">
        <v>2</v>
      </c>
      <c r="Z29" s="1471">
        <v>1</v>
      </c>
      <c r="AA29" s="1471">
        <v>0</v>
      </c>
      <c r="AB29" s="1471">
        <v>1</v>
      </c>
      <c r="AC29" s="1471"/>
      <c r="AD29" s="1471">
        <v>0</v>
      </c>
      <c r="AE29" s="1458">
        <f>IF(B29="","",COUNTIF(C29:P29,"&gt;0"))</f>
        <v>12</v>
      </c>
      <c r="AF29" s="1470">
        <f>SUM(Q29:W29)</f>
        <v>8</v>
      </c>
      <c r="AG29" s="1470">
        <f>SUM(CQ29:CW29)</f>
        <v>18</v>
      </c>
      <c r="AH29" s="1469">
        <f ca="1">IF(AG29=0,"X",IF(AG29&lt;LARGE(AG$2:AG$70,1)/3,"NS",RAND()*0.00001+AF29/AG29))</f>
        <v>0.44445277722509591</v>
      </c>
      <c r="AI29" s="1470">
        <f>SUM(X29:AD29)</f>
        <v>4</v>
      </c>
      <c r="AJ29" s="1470">
        <f>SUM(CX29:DD29)</f>
        <v>18</v>
      </c>
      <c r="AK29" s="1469">
        <f ca="1">IF(AJ29=0,"X",IF(AJ29&lt;LARGE(AJ$2:AJ$70,1)/4,"NS",RAND()*0.00001+AI29/AJ29))</f>
        <v>0.22222642139110652</v>
      </c>
      <c r="AL29" s="1470">
        <f>SUM(Q29:AD29)</f>
        <v>12</v>
      </c>
      <c r="AM29" s="1470">
        <f>SUM(CQ29:DD29)</f>
        <v>36</v>
      </c>
      <c r="AN29" s="1469">
        <f ca="1">IF(AM29=0,"X",IF(AM29&lt;LARGE(AM$2:AM$70,1)/3,"NS",RAND()*0.00001+AL29/AM29))</f>
        <v>0.33333763639191766</v>
      </c>
      <c r="AO29" s="1437">
        <f ca="1">IF(B29="",10,B29+RAND()*0.01)</f>
        <v>7.0099155308050767</v>
      </c>
      <c r="AP29" s="1437">
        <f ca="1">IF(AND(C29="",J29=""),"e",IF(J29="",IF($BD$1&lt;=7,C29+RAND()*0.01,"e"),J29+RAND()*0.01))</f>
        <v>7.0096477893722158</v>
      </c>
      <c r="AQ29" s="1437">
        <f ca="1">IF(AND(D29="",K29=""),"e",IF(K29="",IF($BD$1&lt;=7,D29+RAND()*0.01,"e"),K29+RAND()*0.01))</f>
        <v>7.0088662419554231</v>
      </c>
      <c r="AR29" s="1437">
        <f ca="1">IF(AND(E29="",L29=""),"e",IF(L29="",IF($BD$1&lt;=7,E29+RAND()*0.01,"e"),L29+RAND()*0.01))</f>
        <v>7.0093899226040053</v>
      </c>
      <c r="AS29" s="1437">
        <f ca="1">IF(AND(F29="",M29=""),"e",IF(M29="",IF($BD$1&lt;=7,F29+RAND()*0.01,"e"),M29+RAND()*0.01))</f>
        <v>7.0024528217761199</v>
      </c>
      <c r="AT29" s="1437">
        <f ca="1">IF(AND(G29="",N29=""),"e",IF(N29="",IF($BD$1&lt;=7,G29+RAND()*0.01,"e"),N29+RAND()*0.01))</f>
        <v>7.0032130552923446</v>
      </c>
      <c r="AU29" s="1437" t="str">
        <f ca="1">IF(AND(H29="",O29=""),"e",IF(O29="",IF($BD$1&lt;=7,H29+RAND()*0.01,"e"),O29+RAND()*0.01))</f>
        <v>e</v>
      </c>
      <c r="AV29" s="1437">
        <f ca="1">IF(AND(I29="",P29=""),"e",IF(P29="",IF($BD$1&lt;=7,I29+RAND()*0.01,"e"),P29+RAND()*0.01))</f>
        <v>7.0027433625028799</v>
      </c>
      <c r="AW29" s="1437"/>
      <c r="AX29" s="1436" t="str">
        <f>A29</f>
        <v>Zaragoza Quentin</v>
      </c>
      <c r="AY29" s="1580" t="str">
        <f>IF(OR($H$2&gt;0,$H$3&gt;0,$H$4&gt;0,$H$5&gt;0,$H$6&gt;0,$H$7&gt;0,$H$8&gt;0,$H$2&gt;0),"",IF(COUNTIF(C29:H29,"")&gt;=5,"",IF(COUNTIF(C29:H29,SMALL(C29:H29,1))&gt;=2,SMALL(C29:H29,1),SMALL(C29:H29,2))))</f>
        <v/>
      </c>
      <c r="AZ29" s="1581">
        <f>IF(COUNTIF(J29:O29,"")&gt;=5,"",IF(COUNTIF(J29:O29,SMALL(J29:O29,1))&gt;=2,SMALL(J29:O29,1),SMALL(J29:O29,2)))</f>
        <v>7</v>
      </c>
      <c r="BA29" s="1401"/>
      <c r="BB29" s="1482">
        <f ca="1">IF(ROUND(BD29,0)=ROUND(BD28,0),"-",5)</f>
        <v>5</v>
      </c>
      <c r="BC29" s="1478" t="str">
        <f ca="1">IF($BD$1&lt;=7,[10]clt!U43,[10]clt!BO43)</f>
        <v>CTT MENIMUR 4</v>
      </c>
      <c r="BD29" s="1481">
        <f ca="1">IF($BD$1&lt;=7,[10]clt!V43,[10]clt!BP43)</f>
        <v>13.000019680761751</v>
      </c>
      <c r="BE29" s="1480">
        <f ca="1">IF($BD$1&lt;=7,[10]clt!W43,[10]clt!BQ43)</f>
        <v>7</v>
      </c>
      <c r="BF29" s="1480">
        <f ca="1">IF($BD$1&lt;=7,[10]clt!X43,[10]clt!BR43)</f>
        <v>3</v>
      </c>
      <c r="BG29" s="1480">
        <f ca="1">IF($BD$1&lt;=7,[10]clt!Y43,[10]clt!BS43)</f>
        <v>0</v>
      </c>
      <c r="BH29" s="1480">
        <f ca="1">IF($BD$1&lt;=7,[10]clt!Z43,[10]clt!BT43)</f>
        <v>4</v>
      </c>
      <c r="BI29" s="1480">
        <f ca="1">IF($BD$1&lt;=7,[10]clt!AA43,[10]clt!BU43)</f>
        <v>41</v>
      </c>
      <c r="BJ29" s="1480">
        <f ca="1">IF($BD$1&lt;=7,[10]clt!AB43,[10]clt!BV43)</f>
        <v>57</v>
      </c>
      <c r="BK29" s="1401"/>
      <c r="BL29" s="1482" t="str">
        <f ca="1">IF(ROUND(BN29,0)=ROUND(BN28,0),"-",5)</f>
        <v>-</v>
      </c>
      <c r="BM29" s="1478" t="str">
        <f ca="1">IF($BD$1&lt;=7,[10]clt!U52,[10]clt!BO52)</f>
        <v>ARGOET STT 2</v>
      </c>
      <c r="BN29" s="1481">
        <f ca="1">IF($BD$1&lt;=7,[10]clt!V52,[10]clt!BP52)</f>
        <v>13.000011469301867</v>
      </c>
      <c r="BO29" s="1480">
        <f ca="1">IF($BD$1&lt;=7,[10]clt!W52,[10]clt!BQ52)</f>
        <v>7</v>
      </c>
      <c r="BP29" s="1480">
        <f ca="1">IF($BD$1&lt;=7,[10]clt!X52,[10]clt!BR52)</f>
        <v>3</v>
      </c>
      <c r="BQ29" s="1480">
        <f ca="1">IF($BD$1&lt;=7,[10]clt!Z52,[10]clt!BT52)</f>
        <v>0</v>
      </c>
      <c r="BR29" s="1480">
        <f ca="1">IF($BD$1&lt;=7,[10]clt!Y52,[10]clt!BS52)</f>
        <v>4</v>
      </c>
      <c r="BS29" s="1480">
        <f ca="1">IF($BD$1&lt;=7,[10]clt!AA52,[10]clt!BU52)</f>
        <v>37</v>
      </c>
      <c r="BT29" s="1480">
        <f ca="1">IF($BD$1&lt;=7,[10]clt!AB52,[10]clt!BV52)</f>
        <v>61</v>
      </c>
      <c r="BU29" s="1459"/>
      <c r="BV29" s="1401"/>
      <c r="BW29" s="1401"/>
      <c r="BX29" s="1401"/>
      <c r="BY29" s="561">
        <f ca="1">IF($BD$1&lt;=7,COUNTIF($C29:$I29,"1")+RAND()*0.0001,COUNTIF($J29:$P29,"1")+RAND()*0.0001)</f>
        <v>9.406222226432715E-5</v>
      </c>
      <c r="BZ29" s="561" t="str">
        <f ca="1">IF(BY29&lt;1,"",AX29)</f>
        <v/>
      </c>
      <c r="CA29" s="561">
        <f ca="1">IF($BD$1&lt;=7,COUNTIF($C29:$I29,"2")+RAND()*0.0001,COUNTIF($J29:$P29,"2")+RAND()*0.0001)</f>
        <v>8.6303139537729939E-5</v>
      </c>
      <c r="CB29" s="561" t="str">
        <f ca="1">IF(CA29&lt;1,"",AX29)</f>
        <v/>
      </c>
      <c r="CC29" s="561">
        <f ca="1">IF($BD$1&lt;=7,COUNTIF($C29:$I29,"3")+RAND()*0.0001,COUNTIF($J29:$P29,"3")+RAND()*0.0001)</f>
        <v>3.7269265824487643E-6</v>
      </c>
      <c r="CD29" s="561" t="str">
        <f ca="1">IF(CC29&lt;1,"",AX29)</f>
        <v/>
      </c>
      <c r="CE29" s="561">
        <f ca="1">IF($BD$1&lt;=7,COUNTIF($C29:$I29,"4")+RAND()*0.0001,COUNTIF($J29:$P29,"4")+RAND()*0.0001)</f>
        <v>3.1344916164311113E-5</v>
      </c>
      <c r="CF29" s="561" t="str">
        <f ca="1">IF(CE29&lt;1,"",AX29)</f>
        <v/>
      </c>
      <c r="CG29" s="561">
        <f ca="1">IF($BD$1&lt;=7,COUNTIF($C29:$I29,"5")+RAND()*0.0001,COUNTIF($J29:$P29,"5")+RAND()*0.0001)</f>
        <v>7.3164661755659432E-5</v>
      </c>
      <c r="CH29" s="561" t="str">
        <f ca="1">IF(CG29&lt;1,"",AX29)</f>
        <v/>
      </c>
      <c r="CI29" s="561">
        <f ca="1">IF($BD$1&lt;=7,COUNTIF($C29:$I29,"6")+RAND()*0.0001,COUNTIF($J29:$P29,"6")+RAND()*0.0001)</f>
        <v>5.381516476214332E-5</v>
      </c>
      <c r="CJ29" s="561" t="str">
        <f ca="1">IF(CI29&lt;1,"",AX29)</f>
        <v/>
      </c>
      <c r="CK29" s="561">
        <f ca="1">IF($BD$1&lt;=7,COUNTIF($C29:$I29,"7")+RAND()*0.0001,COUNTIF($J29:$P29,"7")+RAND()*0.0001)</f>
        <v>6.0000400952160788</v>
      </c>
      <c r="CL29" s="561" t="str">
        <f ca="1">IF(CK29&lt;1,"",AX29)</f>
        <v>Zaragoza Quentin</v>
      </c>
      <c r="CM29" s="561">
        <f ca="1">IF($BD$1&lt;=7,COUNTIF($C29:$I29,"8")+RAND()*0.0001,COUNTIF($J29:$P29,"8")+RAND()*0.0001)</f>
        <v>3.7133148326890856E-6</v>
      </c>
      <c r="CN29" s="561" t="str">
        <f ca="1">IF(CM29&lt;1,"",AX29)</f>
        <v/>
      </c>
      <c r="CO29" s="1401"/>
      <c r="CP29" s="1401">
        <f ca="1">AE29+RAND()*0.01</f>
        <v>12.008345814347447</v>
      </c>
      <c r="CQ29" s="1433">
        <f>VLOOKUP(C29,$CO$2:$DF$11,18,FALSE)</f>
        <v>0</v>
      </c>
      <c r="CR29" s="1433">
        <f>VLOOKUP(D29,$CO$2:$DF$11,18,FALSE)</f>
        <v>3</v>
      </c>
      <c r="CS29" s="1433">
        <f>VLOOKUP(E29,$CO$2:$DF$11,18,FALSE)</f>
        <v>3</v>
      </c>
      <c r="CT29" s="1433">
        <f>VLOOKUP(F29,$CO$2:$DF$11,18,FALSE)</f>
        <v>3</v>
      </c>
      <c r="CU29" s="1433">
        <f>VLOOKUP(G29,$CO$2:$DF$11,18,FALSE)</f>
        <v>3</v>
      </c>
      <c r="CV29" s="1433">
        <f>VLOOKUP(H29,$CO$2:$DF$11,18,FALSE)</f>
        <v>3</v>
      </c>
      <c r="CW29" s="1433">
        <f>VLOOKUP(I29,$CO$2:$DF$11,18,FALSE)</f>
        <v>3</v>
      </c>
      <c r="CX29" s="1433">
        <f>VLOOKUP(J29,$CO$2:$DF$11,18,FALSE)</f>
        <v>3</v>
      </c>
      <c r="CY29" s="1433">
        <f>VLOOKUP(K29,$CO$2:$DF$11,18,FALSE)</f>
        <v>3</v>
      </c>
      <c r="CZ29" s="1433">
        <f>VLOOKUP(L29,$CO$2:$DF$11,18,FALSE)</f>
        <v>3</v>
      </c>
      <c r="DA29" s="1433">
        <f>VLOOKUP(M29,$CO$2:$DF$11,18,FALSE)</f>
        <v>3</v>
      </c>
      <c r="DB29" s="1433">
        <f>VLOOKUP(N29,$CO$2:$DF$11,18,FALSE)</f>
        <v>3</v>
      </c>
      <c r="DC29" s="1433">
        <f>VLOOKUP(O29,$CO$2:$DF$11,18,FALSE)</f>
        <v>0</v>
      </c>
      <c r="DD29" s="1433">
        <f>VLOOKUP(P29,$CO$2:$DF$11,18,FALSE)</f>
        <v>3</v>
      </c>
      <c r="DE29" s="1432">
        <f ca="1">IF(AND(DI29=0,A29=""),AL29,IF(DI29=0,AL29+VLOOKUP(AX29,[10]Critérium!$AC$49:$DE$100,81,FALSE),AL29+VLOOKUP(AX29,[10]Critérium!$B$6:$T$22,19,FALSE)+VLOOKUP(AX29,[10]Critérium!$AC$49:$DE$100,81,FALSE)))</f>
        <v>44</v>
      </c>
      <c r="DF29" s="1431"/>
      <c r="DG29" s="1429">
        <f ca="1">IF(AND(DI29=0,A29=""),AM29,IF(DI29=0,AM29+VLOOKUP(AX29,[10]Critérium!$AC$49:$DH$100,84,FALSE),AM29+VLOOKUP(AX29,[10]Critérium!$B$6:$V$22,21,FALSE)+VLOOKUP(AX29,[10]Critérium!$AC$49:$DH$100,84,FALSE)))</f>
        <v>82</v>
      </c>
      <c r="DH29" s="1430">
        <f ca="1">IF(DG29=0,0,(DE29/DG29+RAND()*0.0001))</f>
        <v>0.53667382082652171</v>
      </c>
      <c r="DI29" s="1429" t="str">
        <f>VLOOKUP(AX29,[10]liste!AN:AR,5,FALSE)</f>
        <v>x</v>
      </c>
      <c r="DJ29" s="1427">
        <f ca="1">DG29+RAND()</f>
        <v>82.749816327652468</v>
      </c>
      <c r="DK29" s="1427" t="str">
        <f>A29</f>
        <v>Zaragoza Quentin</v>
      </c>
      <c r="DL29" s="1427"/>
      <c r="DM29" s="1428">
        <f>HLOOKUP($DM$1,$C$1:$P$70,29,FALSE)</f>
        <v>7</v>
      </c>
      <c r="DN29" s="1428">
        <f>HLOOKUP($DN$1,$Q$1:$AD$70,29,FALSE)</f>
        <v>0</v>
      </c>
      <c r="DO29" s="1401"/>
      <c r="DP29" s="1489" t="s">
        <v>780</v>
      </c>
      <c r="DR29" s="1400">
        <f>IF(SUM(C29:P29)=0,0,(AE29*10/SUM(C29:P29)/2)*AE29/21)</f>
        <v>0.40816326530612246</v>
      </c>
      <c r="DS29" s="1427"/>
      <c r="DT29" s="1444"/>
      <c r="DU29" s="1444"/>
      <c r="DV29" s="1488" t="s">
        <v>779</v>
      </c>
      <c r="DW29" s="1488" t="s">
        <v>778</v>
      </c>
      <c r="DX29" s="1444"/>
      <c r="DY29" s="1444"/>
      <c r="DZ29" s="1444"/>
      <c r="EA29" s="1444"/>
      <c r="EB29" s="1427"/>
      <c r="EC29" s="1427"/>
      <c r="ED29" s="1427"/>
      <c r="EE29" s="1427"/>
      <c r="EF29" s="1427"/>
      <c r="EG29" s="1427"/>
      <c r="EH29" s="1427"/>
      <c r="EI29" s="1427"/>
      <c r="EJ29" s="1427"/>
      <c r="EK29" s="1427"/>
      <c r="EL29" s="1427"/>
      <c r="EM29" s="1427"/>
      <c r="EN29" s="1427"/>
      <c r="EO29" s="1427"/>
      <c r="EP29" s="1427"/>
      <c r="EQ29" s="1427"/>
      <c r="ER29" s="1427"/>
      <c r="ES29" s="1427"/>
      <c r="ET29" s="1427"/>
      <c r="EU29" s="1427"/>
      <c r="EV29" s="1427"/>
      <c r="EW29" s="1427"/>
      <c r="EX29" s="1427"/>
      <c r="EY29" s="1427"/>
      <c r="EZ29" s="1427"/>
      <c r="FA29" s="1427"/>
      <c r="FB29" s="1427"/>
      <c r="FC29" s="1427"/>
      <c r="FD29" s="1427"/>
      <c r="FE29" s="1427"/>
      <c r="FF29" s="1427"/>
      <c r="FG29" s="1427"/>
      <c r="FH29" s="1427"/>
      <c r="FI29" s="1427"/>
      <c r="FJ29" s="1427"/>
      <c r="FK29" s="1427"/>
      <c r="FL29" s="1427"/>
      <c r="FM29" s="1427"/>
      <c r="FN29" s="1427"/>
      <c r="FO29" s="1427"/>
      <c r="FP29" s="1427"/>
      <c r="FQ29" s="1427"/>
    </row>
    <row r="30" spans="1:173" s="1426" customFormat="1" ht="21.95" customHeight="1">
      <c r="A30" s="1477" t="str">
        <f>[10]points!B45</f>
        <v>Craineguy David</v>
      </c>
      <c r="B30" s="1476">
        <v>7</v>
      </c>
      <c r="C30" s="1428"/>
      <c r="D30" s="1428"/>
      <c r="E30" s="1428">
        <v>7</v>
      </c>
      <c r="F30" s="1428"/>
      <c r="G30" s="1428"/>
      <c r="H30" s="1428">
        <v>7</v>
      </c>
      <c r="I30" s="1475"/>
      <c r="J30" s="1428"/>
      <c r="K30" s="1428">
        <v>7</v>
      </c>
      <c r="L30" s="1428"/>
      <c r="M30" s="1428"/>
      <c r="N30" s="1428">
        <v>7</v>
      </c>
      <c r="O30" s="1428"/>
      <c r="P30" s="1474">
        <v>7</v>
      </c>
      <c r="Q30" s="1472"/>
      <c r="R30" s="1471"/>
      <c r="S30" s="1471">
        <v>2</v>
      </c>
      <c r="T30" s="1471"/>
      <c r="U30" s="1471"/>
      <c r="V30" s="1471">
        <v>3</v>
      </c>
      <c r="W30" s="1473"/>
      <c r="X30" s="1472"/>
      <c r="Y30" s="1471">
        <v>1</v>
      </c>
      <c r="Z30" s="1471"/>
      <c r="AA30" s="1471"/>
      <c r="AB30" s="1471">
        <v>0</v>
      </c>
      <c r="AC30" s="1471"/>
      <c r="AD30" s="1471">
        <v>0</v>
      </c>
      <c r="AE30" s="1458">
        <f>IF(B30="","",COUNTIF(C30:P30,"&gt;0"))</f>
        <v>5</v>
      </c>
      <c r="AF30" s="1470">
        <f>SUM(Q30:W30)</f>
        <v>5</v>
      </c>
      <c r="AG30" s="1470">
        <f>SUM(CQ30:CW30)</f>
        <v>6</v>
      </c>
      <c r="AH30" s="1469" t="str">
        <f ca="1">IF(AG30=0,"X",IF(AG30&lt;LARGE(AG$2:AG$70,1)/3,"NS",RAND()*0.00001+AF30/AG30))</f>
        <v>NS</v>
      </c>
      <c r="AI30" s="1470">
        <f>SUM(X30:AD30)</f>
        <v>1</v>
      </c>
      <c r="AJ30" s="1470">
        <f>SUM(CX30:DD30)</f>
        <v>9</v>
      </c>
      <c r="AK30" s="1469">
        <f ca="1">IF(AJ30=0,"X",IF(AJ30&lt;LARGE(AJ$2:AJ$70,1)/4,"NS",RAND()*0.00001+AI30/AJ30))</f>
        <v>0.11111355359885929</v>
      </c>
      <c r="AL30" s="1470">
        <f>SUM(Q30:AD30)</f>
        <v>6</v>
      </c>
      <c r="AM30" s="1470">
        <f>SUM(CQ30:DD30)</f>
        <v>15</v>
      </c>
      <c r="AN30" s="1469">
        <f ca="1">IF(AM30=0,"X",IF(AM30&lt;LARGE(AM$2:AM$70,1)/3,"NS",RAND()*0.00001+AL30/AM30))</f>
        <v>0.40000450081863193</v>
      </c>
      <c r="AO30" s="1437">
        <f ca="1">IF(B30="",10,B30+RAND()*0.01)</f>
        <v>7.002217938127167</v>
      </c>
      <c r="AP30" s="1437" t="str">
        <f ca="1">IF(AND(C30="",J30=""),"e",IF(J30="",IF($BD$1&lt;=7,C30+RAND()*0.01,"e"),J30+RAND()*0.01))</f>
        <v>e</v>
      </c>
      <c r="AQ30" s="1437">
        <f ca="1">IF(AND(D30="",K30=""),"e",IF(K30="",IF($BD$1&lt;=7,D30+RAND()*0.01,"e"),K30+RAND()*0.01))</f>
        <v>7.0054379133827505</v>
      </c>
      <c r="AR30" s="1437" t="str">
        <f ca="1">IF(AND(E30="",L30=""),"e",IF(L30="",IF($BD$1&lt;=7,E30+RAND()*0.01,"e"),L30+RAND()*0.01))</f>
        <v>e</v>
      </c>
      <c r="AS30" s="1437" t="str">
        <f ca="1">IF(AND(F30="",M30=""),"e",IF(M30="",IF($BD$1&lt;=7,F30+RAND()*0.01,"e"),M30+RAND()*0.01))</f>
        <v>e</v>
      </c>
      <c r="AT30" s="1437">
        <f ca="1">IF(AND(G30="",N30=""),"e",IF(N30="",IF($BD$1&lt;=7,G30+RAND()*0.01,"e"),N30+RAND()*0.01))</f>
        <v>7.007240590102696</v>
      </c>
      <c r="AU30" s="1437" t="str">
        <f ca="1">IF(AND(H30="",O30=""),"e",IF(O30="",IF($BD$1&lt;=7,H30+RAND()*0.01,"e"),O30+RAND()*0.01))</f>
        <v>e</v>
      </c>
      <c r="AV30" s="1437">
        <f ca="1">IF(AND(I30="",P30=""),"e",IF(P30="",IF($BD$1&lt;=7,I30+RAND()*0.01,"e"),P30+RAND()*0.01))</f>
        <v>7.0022135727233019</v>
      </c>
      <c r="AW30" s="1437"/>
      <c r="AX30" s="1436" t="str">
        <f>A30</f>
        <v>Craineguy David</v>
      </c>
      <c r="AY30" s="1580" t="str">
        <f>IF(OR($H$2&gt;0,$H$3&gt;0,$H$4&gt;0,$H$5&gt;0,$H$6&gt;0,$H$7&gt;0,$H$8&gt;0,$H$2&gt;0),"",IF(COUNTIF(C30:H30,"")&gt;=5,"",IF(COUNTIF(C30:H30,SMALL(C30:H30,1))&gt;=2,SMALL(C30:H30,1),SMALL(C30:H30,2))))</f>
        <v/>
      </c>
      <c r="AZ30" s="1581">
        <f>IF(COUNTIF(J30:O30,"")&gt;=5,"",IF(COUNTIF(J30:O30,SMALL(J30:O30,1))&gt;=2,SMALL(J30:O30,1),SMALL(J30:O30,2)))</f>
        <v>7</v>
      </c>
      <c r="BA30" s="1401"/>
      <c r="BB30" s="1482">
        <f ca="1">IF(ROUND(BD30,0)=ROUND(BD29,0),"-",6)</f>
        <v>6</v>
      </c>
      <c r="BC30" s="1478" t="str">
        <f ca="1">IF($BD$1&lt;=7,[10]clt!U44,[10]clt!BO44)</f>
        <v>PLUNERET/MERIAD 3</v>
      </c>
      <c r="BD30" s="1481">
        <f ca="1">IF($BD$1&lt;=7,[10]clt!V44,[10]clt!BP44)</f>
        <v>10.000051273234616</v>
      </c>
      <c r="BE30" s="1479">
        <f ca="1">IF($BD$1&lt;=7,[10]clt!W44,[10]clt!BQ44)</f>
        <v>7</v>
      </c>
      <c r="BF30" s="1479">
        <f ca="1">IF($BD$1&lt;=7,[10]clt!X44,[10]clt!BR44)</f>
        <v>1</v>
      </c>
      <c r="BG30" s="1480">
        <f ca="1">IF($BD$1&lt;=7,[10]clt!Y44,[10]clt!BS44)</f>
        <v>1</v>
      </c>
      <c r="BH30" s="1480">
        <f ca="1">IF($BD$1&lt;=7,[10]clt!Z44,[10]clt!BT44)</f>
        <v>5</v>
      </c>
      <c r="BI30" s="1479">
        <f ca="1">IF($BD$1&lt;=7,[10]clt!AA44,[10]clt!BU44)</f>
        <v>46</v>
      </c>
      <c r="BJ30" s="1479">
        <f ca="1">IF($BD$1&lt;=7,[10]clt!AB44,[10]clt!BV44)</f>
        <v>52</v>
      </c>
      <c r="BK30" s="1401"/>
      <c r="BL30" s="1482">
        <f ca="1">IF(ROUND(BN30,0)=ROUND(BN29,0),"-",6)</f>
        <v>6</v>
      </c>
      <c r="BM30" s="1478" t="str">
        <f ca="1">IF($BD$1&lt;=7,[10]clt!U53,[10]clt!BO53)</f>
        <v>FC ST-RAOUL 2</v>
      </c>
      <c r="BN30" s="1481">
        <f ca="1">IF($BD$1&lt;=7,[10]clt!V53,[10]clt!BP53)</f>
        <v>12.000028074268863</v>
      </c>
      <c r="BO30" s="1479">
        <f ca="1">IF($BD$1&lt;=7,[10]clt!W53,[10]clt!BQ53)</f>
        <v>7</v>
      </c>
      <c r="BP30" s="1479">
        <f ca="1">IF($BD$1&lt;=7,[10]clt!X53,[10]clt!BR53)</f>
        <v>1</v>
      </c>
      <c r="BQ30" s="1480">
        <f ca="1">IF($BD$1&lt;=7,[10]clt!Z53,[10]clt!BT53)</f>
        <v>3</v>
      </c>
      <c r="BR30" s="1480">
        <f ca="1">IF($BD$1&lt;=7,[10]clt!Y53,[10]clt!BS53)</f>
        <v>3</v>
      </c>
      <c r="BS30" s="1479">
        <f ca="1">IF($BD$1&lt;=7,[10]clt!AA53,[10]clt!BU53)</f>
        <v>41</v>
      </c>
      <c r="BT30" s="1479">
        <f ca="1">IF($BD$1&lt;=7,[10]clt!AB53,[10]clt!BV53)</f>
        <v>57</v>
      </c>
      <c r="BU30" s="1459"/>
      <c r="BV30" s="1401"/>
      <c r="BW30" s="1401"/>
      <c r="BX30" s="1401"/>
      <c r="BY30" s="561">
        <f ca="1">IF($BD$1&lt;=7,COUNTIF($C30:$I30,"1")+RAND()*0.0001,COUNTIF($J30:$P30,"1")+RAND()*0.0001)</f>
        <v>9.281087309654271E-5</v>
      </c>
      <c r="BZ30" s="561" t="str">
        <f ca="1">IF(BY30&lt;1,"",AX30)</f>
        <v/>
      </c>
      <c r="CA30" s="561">
        <f ca="1">IF($BD$1&lt;=7,COUNTIF($C30:$I30,"2")+RAND()*0.0001,COUNTIF($J30:$P30,"2")+RAND()*0.0001)</f>
        <v>1.1622943341736824E-5</v>
      </c>
      <c r="CB30" s="561" t="str">
        <f ca="1">IF(CA30&lt;1,"",AX30)</f>
        <v/>
      </c>
      <c r="CC30" s="561">
        <f ca="1">IF($BD$1&lt;=7,COUNTIF($C30:$I30,"3")+RAND()*0.0001,COUNTIF($J30:$P30,"3")+RAND()*0.0001)</f>
        <v>7.0138141740357541E-5</v>
      </c>
      <c r="CD30" s="561" t="str">
        <f ca="1">IF(CC30&lt;1,"",AX30)</f>
        <v/>
      </c>
      <c r="CE30" s="561">
        <f ca="1">IF($BD$1&lt;=7,COUNTIF($C30:$I30,"4")+RAND()*0.0001,COUNTIF($J30:$P30,"4")+RAND()*0.0001)</f>
        <v>7.6045482416058077E-5</v>
      </c>
      <c r="CF30" s="561" t="str">
        <f ca="1">IF(CE30&lt;1,"",AX30)</f>
        <v/>
      </c>
      <c r="CG30" s="561">
        <f ca="1">IF($BD$1&lt;=7,COUNTIF($C30:$I30,"5")+RAND()*0.0001,COUNTIF($J30:$P30,"5")+RAND()*0.0001)</f>
        <v>7.3354292226954809E-5</v>
      </c>
      <c r="CH30" s="561" t="str">
        <f ca="1">IF(CG30&lt;1,"",AX30)</f>
        <v/>
      </c>
      <c r="CI30" s="561">
        <f ca="1">IF($BD$1&lt;=7,COUNTIF($C30:$I30,"6")+RAND()*0.0001,COUNTIF($J30:$P30,"6")+RAND()*0.0001)</f>
        <v>5.0310510452768099E-5</v>
      </c>
      <c r="CJ30" s="561" t="str">
        <f ca="1">IF(CI30&lt;1,"",AX30)</f>
        <v/>
      </c>
      <c r="CK30" s="561">
        <f ca="1">IF($BD$1&lt;=7,COUNTIF($C30:$I30,"7")+RAND()*0.0001,COUNTIF($J30:$P30,"7")+RAND()*0.0001)</f>
        <v>3.0000983308946716</v>
      </c>
      <c r="CL30" s="561" t="str">
        <f ca="1">IF(CK30&lt;1,"",AX30)</f>
        <v>Craineguy David</v>
      </c>
      <c r="CM30" s="561">
        <f ca="1">IF($BD$1&lt;=7,COUNTIF($C30:$I30,"8")+RAND()*0.0001,COUNTIF($J30:$P30,"8")+RAND()*0.0001)</f>
        <v>3.7275263331457922E-5</v>
      </c>
      <c r="CN30" s="561" t="str">
        <f ca="1">IF(CM30&lt;1,"",AX30)</f>
        <v/>
      </c>
      <c r="CO30" s="1401"/>
      <c r="CP30" s="1401">
        <f ca="1">AE30+RAND()*0.01</f>
        <v>5.0064240290288309</v>
      </c>
      <c r="CQ30" s="1433">
        <f>VLOOKUP(C30,$CO$2:$DF$11,18,FALSE)</f>
        <v>0</v>
      </c>
      <c r="CR30" s="1433">
        <f>VLOOKUP(D30,$CO$2:$DF$11,18,FALSE)</f>
        <v>0</v>
      </c>
      <c r="CS30" s="1433">
        <f>VLOOKUP(E30,$CO$2:$DF$11,18,FALSE)</f>
        <v>3</v>
      </c>
      <c r="CT30" s="1433">
        <f>VLOOKUP(F30,$CO$2:$DF$11,18,FALSE)</f>
        <v>0</v>
      </c>
      <c r="CU30" s="1433">
        <f>VLOOKUP(G30,$CO$2:$DF$11,18,FALSE)</f>
        <v>0</v>
      </c>
      <c r="CV30" s="1433">
        <f>VLOOKUP(H30,$CO$2:$DF$11,18,FALSE)</f>
        <v>3</v>
      </c>
      <c r="CW30" s="1433">
        <f>VLOOKUP(I30,$CO$2:$DF$11,18,FALSE)</f>
        <v>0</v>
      </c>
      <c r="CX30" s="1433">
        <f>VLOOKUP(J30,$CO$2:$DF$11,18,FALSE)</f>
        <v>0</v>
      </c>
      <c r="CY30" s="1433">
        <f>VLOOKUP(K30,$CO$2:$DF$11,18,FALSE)</f>
        <v>3</v>
      </c>
      <c r="CZ30" s="1433">
        <f>VLOOKUP(L30,$CO$2:$DF$11,18,FALSE)</f>
        <v>0</v>
      </c>
      <c r="DA30" s="1433">
        <f>VLOOKUP(M30,$CO$2:$DF$11,18,FALSE)</f>
        <v>0</v>
      </c>
      <c r="DB30" s="1433">
        <f>VLOOKUP(N30,$CO$2:$DF$11,18,FALSE)</f>
        <v>3</v>
      </c>
      <c r="DC30" s="1433">
        <f>VLOOKUP(O30,$CO$2:$DF$11,18,FALSE)</f>
        <v>0</v>
      </c>
      <c r="DD30" s="1433">
        <f>VLOOKUP(P30,$CO$2:$DF$11,18,FALSE)</f>
        <v>3</v>
      </c>
      <c r="DE30" s="1432">
        <f ca="1">IF(AND(DI30=0,A30=""),AL30,IF(DI30=0,AL30+VLOOKUP(AX30,[10]Critérium!$AC$49:$DE$100,81,FALSE),AL30+VLOOKUP(AX30,[10]Critérium!$B$6:$T$22,19,FALSE)+VLOOKUP(AX30,[10]Critérium!$AC$49:$DE$100,81,FALSE)))</f>
        <v>6</v>
      </c>
      <c r="DF30" s="1431"/>
      <c r="DG30" s="1429">
        <f ca="1">IF(AND(DI30=0,A30=""),AM30,IF(DI30=0,AM30+VLOOKUP(AX30,[10]Critérium!$AC$49:$DH$100,84,FALSE),AM30+VLOOKUP(AX30,[10]Critérium!$B$6:$V$22,21,FALSE)+VLOOKUP(AX30,[10]Critérium!$AC$49:$DH$100,84,FALSE)))</f>
        <v>15</v>
      </c>
      <c r="DH30" s="1430">
        <f ca="1">IF(DG30=0,0,(DE30/DG30+RAND()*0.0001))</f>
        <v>0.40009824736788957</v>
      </c>
      <c r="DI30" s="1429">
        <f>VLOOKUP(AX30,[10]liste!AN:AR,5,FALSE)</f>
        <v>0</v>
      </c>
      <c r="DJ30" s="1427">
        <f ca="1">DG30+RAND()</f>
        <v>15.560317761103613</v>
      </c>
      <c r="DK30" s="1427" t="str">
        <f>A30</f>
        <v>Craineguy David</v>
      </c>
      <c r="DL30" s="1427"/>
      <c r="DM30" s="1428">
        <f>HLOOKUP($DM$1,$C$1:$P$70,30,FALSE)</f>
        <v>7</v>
      </c>
      <c r="DN30" s="1428">
        <f>HLOOKUP($DN$1,$Q$1:$AD$70,30,FALSE)</f>
        <v>0</v>
      </c>
      <c r="DO30" s="1401"/>
      <c r="DP30" s="1464">
        <v>25</v>
      </c>
      <c r="DR30" s="1400">
        <f>IF(SUM(C30:P30)=0,0,(AE30*10/SUM(C30:P30)/2)*AE30/21)</f>
        <v>0.17006802721088438</v>
      </c>
      <c r="DS30" s="1427"/>
      <c r="DT30" s="1444"/>
      <c r="DU30" s="1444"/>
      <c r="DV30" s="1462" t="s">
        <v>777</v>
      </c>
      <c r="DW30" s="1462" t="s">
        <v>776</v>
      </c>
      <c r="DX30" s="1444"/>
      <c r="DY30" s="1444"/>
      <c r="DZ30" s="1444"/>
      <c r="EA30" s="1444"/>
      <c r="EB30" s="1427"/>
      <c r="EC30" s="1427"/>
      <c r="ED30" s="1427"/>
      <c r="EE30" s="1427"/>
      <c r="EF30" s="1427"/>
      <c r="EG30" s="1427"/>
      <c r="EH30" s="1427"/>
      <c r="EI30" s="1427"/>
      <c r="EJ30" s="1427"/>
      <c r="EK30" s="1427"/>
      <c r="EL30" s="1427"/>
      <c r="EM30" s="1427"/>
      <c r="EN30" s="1427"/>
      <c r="EO30" s="1427"/>
      <c r="EP30" s="1427"/>
      <c r="EQ30" s="1427"/>
      <c r="ER30" s="1427"/>
      <c r="ES30" s="1427"/>
      <c r="ET30" s="1427"/>
      <c r="EU30" s="1427"/>
      <c r="EV30" s="1427"/>
      <c r="EW30" s="1427"/>
      <c r="EX30" s="1427"/>
      <c r="EY30" s="1427"/>
      <c r="EZ30" s="1427"/>
      <c r="FA30" s="1427"/>
      <c r="FB30" s="1427"/>
      <c r="FC30" s="1427"/>
      <c r="FD30" s="1427"/>
      <c r="FE30" s="1427"/>
      <c r="FF30" s="1427"/>
      <c r="FG30" s="1427"/>
      <c r="FH30" s="1427"/>
      <c r="FI30" s="1427"/>
      <c r="FJ30" s="1427"/>
      <c r="FK30" s="1427"/>
      <c r="FL30" s="1427"/>
      <c r="FM30" s="1427"/>
      <c r="FN30" s="1427"/>
      <c r="FO30" s="1427"/>
      <c r="FP30" s="1427"/>
      <c r="FQ30" s="1427"/>
    </row>
    <row r="31" spans="1:173" s="1426" customFormat="1" ht="21.95" customHeight="1">
      <c r="A31" s="1477" t="str">
        <f>[10]points!B41</f>
        <v>Bousseau Yannick</v>
      </c>
      <c r="B31" s="1476">
        <v>7</v>
      </c>
      <c r="C31" s="1428"/>
      <c r="D31" s="1428">
        <v>7</v>
      </c>
      <c r="E31" s="1428">
        <v>7</v>
      </c>
      <c r="F31" s="1428">
        <v>7</v>
      </c>
      <c r="G31" s="1428">
        <v>7</v>
      </c>
      <c r="H31" s="1428"/>
      <c r="I31" s="1475">
        <v>7</v>
      </c>
      <c r="J31" s="1428">
        <v>7</v>
      </c>
      <c r="K31" s="1428">
        <v>7</v>
      </c>
      <c r="L31" s="1428">
        <v>7</v>
      </c>
      <c r="M31" s="1428">
        <v>7</v>
      </c>
      <c r="N31" s="1428">
        <v>7</v>
      </c>
      <c r="O31" s="1428">
        <v>7</v>
      </c>
      <c r="P31" s="1474">
        <v>7</v>
      </c>
      <c r="Q31" s="1472"/>
      <c r="R31" s="1471">
        <v>3</v>
      </c>
      <c r="S31" s="1471">
        <v>3</v>
      </c>
      <c r="T31" s="1471">
        <v>3</v>
      </c>
      <c r="U31" s="1471">
        <v>3</v>
      </c>
      <c r="V31" s="1471"/>
      <c r="W31" s="1473">
        <v>3</v>
      </c>
      <c r="X31" s="1472">
        <v>0</v>
      </c>
      <c r="Y31" s="1471">
        <v>0</v>
      </c>
      <c r="Z31" s="1471">
        <v>1</v>
      </c>
      <c r="AA31" s="1471">
        <v>0</v>
      </c>
      <c r="AB31" s="1471">
        <v>0</v>
      </c>
      <c r="AC31" s="1471">
        <v>0</v>
      </c>
      <c r="AD31" s="1471">
        <v>0</v>
      </c>
      <c r="AE31" s="1458">
        <f>IF(B31="","",COUNTIF(C31:P31,"&gt;0"))</f>
        <v>12</v>
      </c>
      <c r="AF31" s="1470">
        <f>SUM(Q31:W31)</f>
        <v>15</v>
      </c>
      <c r="AG31" s="1470">
        <f>SUM(CQ31:CW31)</f>
        <v>15</v>
      </c>
      <c r="AH31" s="1469">
        <f ca="1">IF(AG31=0,"X",IF(AG31&lt;LARGE(AG$2:AG$70,1)/3,"NS",RAND()*0.00001+AF31/AG31))</f>
        <v>1.000007328618931</v>
      </c>
      <c r="AI31" s="1470">
        <f>SUM(X31:AD31)</f>
        <v>1</v>
      </c>
      <c r="AJ31" s="1470">
        <f>SUM(CX31:DD31)</f>
        <v>21</v>
      </c>
      <c r="AK31" s="1469">
        <f ca="1">IF(AJ31=0,"X",IF(AJ31&lt;LARGE(AJ$2:AJ$70,1)/4,"NS",RAND()*0.00001+AI31/AJ31))</f>
        <v>4.7620384610121837E-2</v>
      </c>
      <c r="AL31" s="1470">
        <f>SUM(Q31:AD31)</f>
        <v>16</v>
      </c>
      <c r="AM31" s="1470">
        <f>SUM(CQ31:DD31)</f>
        <v>36</v>
      </c>
      <c r="AN31" s="1469">
        <f ca="1">IF(AM31=0,"X",IF(AM31&lt;LARGE(AM$2:AM$70,1)/3,"NS",RAND()*0.00001+AL31/AM31))</f>
        <v>0.44445000715583932</v>
      </c>
      <c r="AO31" s="1437">
        <f ca="1">IF(B31="",10,B31+RAND()*0.01)</f>
        <v>7.0079419812779626</v>
      </c>
      <c r="AP31" s="1437">
        <f ca="1">IF(AND(C31="",J31=""),"e",IF(J31="",IF($BD$1&lt;=7,C31+RAND()*0.01,"e"),J31+RAND()*0.01))</f>
        <v>7.0074357560701399</v>
      </c>
      <c r="AQ31" s="1437">
        <f ca="1">IF(AND(D31="",K31=""),"e",IF(K31="",IF($BD$1&lt;=7,D31+RAND()*0.01,"e"),K31+RAND()*0.01))</f>
        <v>7.0030866814382682</v>
      </c>
      <c r="AR31" s="1437">
        <f ca="1">IF(AND(E31="",L31=""),"e",IF(L31="",IF($BD$1&lt;=7,E31+RAND()*0.01,"e"),L31+RAND()*0.01))</f>
        <v>7.0015368235789648</v>
      </c>
      <c r="AS31" s="1437">
        <f ca="1">IF(AND(F31="",M31=""),"e",IF(M31="",IF($BD$1&lt;=7,F31+RAND()*0.01,"e"),M31+RAND()*0.01))</f>
        <v>7.0073118799486833</v>
      </c>
      <c r="AT31" s="1437">
        <f ca="1">IF(AND(G31="",N31=""),"e",IF(N31="",IF($BD$1&lt;=7,G31+RAND()*0.01,"e"),N31+RAND()*0.01))</f>
        <v>7.0066804947665897</v>
      </c>
      <c r="AU31" s="1437">
        <f ca="1">IF(AND(H31="",O31=""),"e",IF(O31="",IF($BD$1&lt;=7,H31+RAND()*0.01,"e"),O31+RAND()*0.01))</f>
        <v>7.0020432734036806</v>
      </c>
      <c r="AV31" s="1437">
        <f ca="1">IF(AND(I31="",P31=""),"e",IF(P31="",IF($BD$1&lt;=7,I31+RAND()*0.01,"e"),P31+RAND()*0.01))</f>
        <v>7.0016064891313627</v>
      </c>
      <c r="AW31" s="1437"/>
      <c r="AX31" s="1436" t="str">
        <f>A31</f>
        <v>Bousseau Yannick</v>
      </c>
      <c r="AY31" s="1580" t="str">
        <f>IF(OR($H$2&gt;0,$H$3&gt;0,$H$4&gt;0,$H$5&gt;0,$H$6&gt;0,$H$7&gt;0,$H$8&gt;0,$H$2&gt;0),"",IF(COUNTIF(C31:H31,"")&gt;=5,"",IF(COUNTIF(C31:H31,SMALL(C31:H31,1))&gt;=2,SMALL(C31:H31,1),SMALL(C31:H31,2))))</f>
        <v/>
      </c>
      <c r="AZ31" s="1581">
        <f>IF(COUNTIF(J31:O31,"")&gt;=5,"",IF(COUNTIF(J31:O31,SMALL(J31:O31,1))&gt;=2,SMALL(J31:O31,1),SMALL(J31:O31,2)))</f>
        <v>7</v>
      </c>
      <c r="BA31" s="1401"/>
      <c r="BB31" s="1468" t="str">
        <f ca="1">IF(ROUND(BD31,0)=ROUND(BD30,0),"-",7)</f>
        <v>-</v>
      </c>
      <c r="BC31" s="1467" t="str">
        <f ca="1">IF($BD$1&lt;=7,[10]clt!U45,[10]clt!BO45)</f>
        <v>TT RHUYS 1</v>
      </c>
      <c r="BD31" s="1466">
        <f ca="1">IF($BD$1&lt;=7,[10]clt!V45,[10]clt!BP45)</f>
        <v>10.000036554939857</v>
      </c>
      <c r="BE31" s="1465">
        <f ca="1">IF($BD$1&lt;=7,[10]clt!W45,[10]clt!BQ45)</f>
        <v>6</v>
      </c>
      <c r="BF31" s="1465">
        <f ca="1">IF($BD$1&lt;=7,[10]clt!X45,[10]clt!BR45)</f>
        <v>2</v>
      </c>
      <c r="BG31" s="1465">
        <f ca="1">IF($BD$1&lt;=7,[10]clt!Y45,[10]clt!BS45)</f>
        <v>0</v>
      </c>
      <c r="BH31" s="1465">
        <f ca="1">IF($BD$1&lt;=7,[10]clt!Z45,[10]clt!BT45)</f>
        <v>4</v>
      </c>
      <c r="BI31" s="1465">
        <f ca="1">IF($BD$1&lt;=7,[10]clt!AA45,[10]clt!BU45)</f>
        <v>33</v>
      </c>
      <c r="BJ31" s="1465">
        <f ca="1">IF($BD$1&lt;=7,[10]clt!AB45,[10]clt!BV45)</f>
        <v>51</v>
      </c>
      <c r="BK31" s="1461"/>
      <c r="BL31" s="1468">
        <f ca="1">IF(ROUND(BN31,0)=ROUND(BN30,0),"-",7)</f>
        <v>7</v>
      </c>
      <c r="BM31" s="1467" t="str">
        <f ca="1">[10]clt!U54</f>
        <v>RM PLUMELEC 2</v>
      </c>
      <c r="BN31" s="1481">
        <f ca="1">IF($BD$1&lt;=7,[10]clt!V54,[10]clt!BP54)</f>
        <v>11.00000345467217</v>
      </c>
      <c r="BO31" s="1479">
        <f ca="1">IF($BD$1&lt;=7,[10]clt!W54,[10]clt!BQ54)</f>
        <v>7</v>
      </c>
      <c r="BP31" s="1479">
        <f ca="1">IF($BD$1&lt;=7,[10]clt!X54,[10]clt!BR54)</f>
        <v>1</v>
      </c>
      <c r="BQ31" s="1480">
        <f ca="1">IF($BD$1&lt;=7,[10]clt!Z54,[10]clt!BT54)</f>
        <v>2</v>
      </c>
      <c r="BR31" s="1480">
        <f ca="1">IF($BD$1&lt;=7,[10]clt!Y54,[10]clt!BS54)</f>
        <v>4</v>
      </c>
      <c r="BS31" s="1479">
        <f ca="1">IF($BD$1&lt;=7,[10]clt!AA54,[10]clt!BU54)</f>
        <v>35</v>
      </c>
      <c r="BT31" s="1479">
        <f ca="1">IF($BD$1&lt;=7,[10]clt!AB54,[10]clt!BV54)</f>
        <v>63</v>
      </c>
      <c r="BU31" s="1459"/>
      <c r="BV31" s="1401"/>
      <c r="BW31" s="1401"/>
      <c r="BX31" s="1401"/>
      <c r="BY31" s="561">
        <f ca="1">IF($BD$1&lt;=7,COUNTIF($C31:$I31,"1")+RAND()*0.0001,COUNTIF($J31:$P31,"1")+RAND()*0.0001)</f>
        <v>4.4585718764451726E-5</v>
      </c>
      <c r="BZ31" s="561" t="str">
        <f ca="1">IF(BY31&lt;1,"",AX31)</f>
        <v/>
      </c>
      <c r="CA31" s="561">
        <f ca="1">IF($BD$1&lt;=7,COUNTIF($C31:$I31,"2")+RAND()*0.0001,COUNTIF($J31:$P31,"2")+RAND()*0.0001)</f>
        <v>3.6362521295873054E-5</v>
      </c>
      <c r="CB31" s="561" t="str">
        <f ca="1">IF(CA31&lt;1,"",AX31)</f>
        <v/>
      </c>
      <c r="CC31" s="561">
        <f ca="1">IF($BD$1&lt;=7,COUNTIF($C31:$I31,"3")+RAND()*0.0001,COUNTIF($J31:$P31,"3")+RAND()*0.0001)</f>
        <v>5.2431497350151771E-5</v>
      </c>
      <c r="CD31" s="561" t="str">
        <f ca="1">IF(CC31&lt;1,"",AX31)</f>
        <v/>
      </c>
      <c r="CE31" s="561">
        <f ca="1">IF($BD$1&lt;=7,COUNTIF($C31:$I31,"4")+RAND()*0.0001,COUNTIF($J31:$P31,"4")+RAND()*0.0001)</f>
        <v>9.2471426825784328E-5</v>
      </c>
      <c r="CF31" s="561" t="str">
        <f ca="1">IF(CE31&lt;1,"",AX31)</f>
        <v/>
      </c>
      <c r="CG31" s="561">
        <f ca="1">IF($BD$1&lt;=7,COUNTIF($C31:$I31,"5")+RAND()*0.0001,COUNTIF($J31:$P31,"5")+RAND()*0.0001)</f>
        <v>6.0934906169298313E-5</v>
      </c>
      <c r="CH31" s="561" t="str">
        <f ca="1">IF(CG31&lt;1,"",AX31)</f>
        <v/>
      </c>
      <c r="CI31" s="561">
        <f ca="1">IF($BD$1&lt;=7,COUNTIF($C31:$I31,"6")+RAND()*0.0001,COUNTIF($J31:$P31,"6")+RAND()*0.0001)</f>
        <v>4.6300912059981041E-5</v>
      </c>
      <c r="CJ31" s="561" t="str">
        <f ca="1">IF(CI31&lt;1,"",AX31)</f>
        <v/>
      </c>
      <c r="CK31" s="561">
        <f ca="1">IF($BD$1&lt;=7,COUNTIF($C31:$I31,"7")+RAND()*0.0001,COUNTIF($J31:$P31,"7")+RAND()*0.0001)</f>
        <v>7.0000589681234819</v>
      </c>
      <c r="CL31" s="561" t="str">
        <f ca="1">IF(CK31&lt;1,"",AX31)</f>
        <v>Bousseau Yannick</v>
      </c>
      <c r="CM31" s="561">
        <f ca="1">IF($BD$1&lt;=7,COUNTIF($C31:$I31,"8")+RAND()*0.0001,COUNTIF($J31:$P31,"8")+RAND()*0.0001)</f>
        <v>3.5915357206798236E-5</v>
      </c>
      <c r="CN31" s="561" t="str">
        <f ca="1">IF(CM31&lt;1,"",AX31)</f>
        <v/>
      </c>
      <c r="CO31" s="1401"/>
      <c r="CP31" s="1401">
        <f ca="1">AE31+RAND()*0.01</f>
        <v>12.003887403310303</v>
      </c>
      <c r="CQ31" s="1433">
        <f>VLOOKUP(C31,$CO$2:$DF$11,18,FALSE)</f>
        <v>0</v>
      </c>
      <c r="CR31" s="1433">
        <f>VLOOKUP(D31,$CO$2:$DF$11,18,FALSE)</f>
        <v>3</v>
      </c>
      <c r="CS31" s="1433">
        <f>VLOOKUP(E31,$CO$2:$DF$11,18,FALSE)</f>
        <v>3</v>
      </c>
      <c r="CT31" s="1433">
        <f>VLOOKUP(F31,$CO$2:$DF$11,18,FALSE)</f>
        <v>3</v>
      </c>
      <c r="CU31" s="1433">
        <f>VLOOKUP(G31,$CO$2:$DF$11,18,FALSE)</f>
        <v>3</v>
      </c>
      <c r="CV31" s="1433">
        <f>VLOOKUP(H31,$CO$2:$DF$11,18,FALSE)</f>
        <v>0</v>
      </c>
      <c r="CW31" s="1433">
        <f>VLOOKUP(I31,$CO$2:$DF$11,18,FALSE)</f>
        <v>3</v>
      </c>
      <c r="CX31" s="1433">
        <f>VLOOKUP(J31,$CO$2:$DF$11,18,FALSE)</f>
        <v>3</v>
      </c>
      <c r="CY31" s="1433">
        <f>VLOOKUP(K31,$CO$2:$DF$11,18,FALSE)</f>
        <v>3</v>
      </c>
      <c r="CZ31" s="1433">
        <f>VLOOKUP(L31,$CO$2:$DF$11,18,FALSE)</f>
        <v>3</v>
      </c>
      <c r="DA31" s="1433">
        <f>VLOOKUP(M31,$CO$2:$DF$11,18,FALSE)</f>
        <v>3</v>
      </c>
      <c r="DB31" s="1433">
        <f>VLOOKUP(N31,$CO$2:$DF$11,18,FALSE)</f>
        <v>3</v>
      </c>
      <c r="DC31" s="1433">
        <f>VLOOKUP(O31,$CO$2:$DF$11,18,FALSE)</f>
        <v>3</v>
      </c>
      <c r="DD31" s="1433">
        <f>VLOOKUP(P31,$CO$2:$DF$11,18,FALSE)</f>
        <v>3</v>
      </c>
      <c r="DE31" s="1432">
        <f ca="1">IF(AND(DI31=0,A31=""),AL31,IF(DI31=0,AL31+VLOOKUP(AX31,[10]Critérium!$AC$49:$DE$100,81,FALSE),AL31+VLOOKUP(AX31,[10]Critérium!$B$6:$T$22,19,FALSE)+VLOOKUP(AX31,[10]Critérium!$AC$49:$DE$100,81,FALSE)))</f>
        <v>16</v>
      </c>
      <c r="DF31" s="1431"/>
      <c r="DG31" s="1429">
        <f ca="1">IF(AND(DI31=0,A31=""),AM31,IF(DI31=0,AM31+VLOOKUP(AX31,[10]Critérium!$AC$49:$DH$100,84,FALSE),AM31+VLOOKUP(AX31,[10]Critérium!$B$6:$V$22,21,FALSE)+VLOOKUP(AX31,[10]Critérium!$AC$49:$DH$100,84,FALSE)))</f>
        <v>36</v>
      </c>
      <c r="DH31" s="1430">
        <f ca="1">IF(DG31=0,0,(DE31/DG31+RAND()*0.0001))</f>
        <v>0.44453033232947858</v>
      </c>
      <c r="DI31" s="1429">
        <f>VLOOKUP(AX31,[10]liste!AN:AR,5,FALSE)</f>
        <v>0</v>
      </c>
      <c r="DJ31" s="1427">
        <f ca="1">DG31+RAND()</f>
        <v>36.490857336755738</v>
      </c>
      <c r="DK31" s="1427" t="str">
        <f>A31</f>
        <v>Bousseau Yannick</v>
      </c>
      <c r="DL31" s="1427"/>
      <c r="DM31" s="1428">
        <f>HLOOKUP($DM$1,$C$1:$P$70,31,FALSE)</f>
        <v>7</v>
      </c>
      <c r="DN31" s="1428">
        <f>HLOOKUP($DN$1,$Q$1:$AD$70,31,FALSE)</f>
        <v>0</v>
      </c>
      <c r="DO31" s="1401"/>
      <c r="DP31" s="1463">
        <v>30</v>
      </c>
      <c r="DR31" s="1400">
        <f>IF(SUM(C31:P31)=0,0,(AE31*10/SUM(C31:P31)/2)*AE31/21)</f>
        <v>0.40816326530612246</v>
      </c>
      <c r="DS31" s="1427"/>
      <c r="DT31" s="1444"/>
      <c r="DU31" s="1444"/>
      <c r="DV31" s="1462" t="s">
        <v>775</v>
      </c>
      <c r="DW31" s="1462" t="s">
        <v>774</v>
      </c>
      <c r="DX31" s="1444"/>
      <c r="DY31" s="1444"/>
      <c r="DZ31" s="1444"/>
      <c r="EA31" s="1444"/>
      <c r="EB31" s="1427"/>
      <c r="EC31" s="1427"/>
      <c r="ED31" s="1427"/>
      <c r="EE31" s="1427"/>
      <c r="EF31" s="1427"/>
      <c r="EG31" s="1427"/>
      <c r="EH31" s="1427"/>
      <c r="EI31" s="1427"/>
      <c r="EJ31" s="1427"/>
      <c r="EK31" s="1427"/>
      <c r="EL31" s="1427"/>
      <c r="EM31" s="1427"/>
      <c r="EN31" s="1427"/>
      <c r="EO31" s="1427"/>
      <c r="EP31" s="1427"/>
      <c r="EQ31" s="1427"/>
      <c r="ER31" s="1427"/>
      <c r="ES31" s="1427"/>
      <c r="ET31" s="1427"/>
      <c r="EU31" s="1427"/>
      <c r="EV31" s="1427"/>
      <c r="EW31" s="1427"/>
      <c r="EX31" s="1427"/>
      <c r="EY31" s="1427"/>
      <c r="EZ31" s="1427"/>
      <c r="FA31" s="1427"/>
      <c r="FB31" s="1427"/>
      <c r="FC31" s="1427"/>
      <c r="FD31" s="1427"/>
      <c r="FE31" s="1427"/>
      <c r="FF31" s="1427"/>
      <c r="FG31" s="1427"/>
      <c r="FH31" s="1427"/>
      <c r="FI31" s="1427"/>
      <c r="FJ31" s="1427"/>
      <c r="FK31" s="1427"/>
      <c r="FL31" s="1427"/>
      <c r="FM31" s="1427"/>
      <c r="FN31" s="1427"/>
      <c r="FO31" s="1427"/>
      <c r="FP31" s="1427"/>
      <c r="FQ31" s="1427"/>
    </row>
    <row r="32" spans="1:173" s="1426" customFormat="1" ht="21.95" customHeight="1">
      <c r="A32" s="1477" t="str">
        <f>[10]points!B43</f>
        <v>Sail Rémy</v>
      </c>
      <c r="B32" s="1476">
        <v>7</v>
      </c>
      <c r="C32" s="1428"/>
      <c r="D32" s="1428">
        <v>7</v>
      </c>
      <c r="E32" s="1428">
        <v>7</v>
      </c>
      <c r="F32" s="1428">
        <v>7</v>
      </c>
      <c r="G32" s="1428">
        <v>7</v>
      </c>
      <c r="H32" s="1428">
        <v>7</v>
      </c>
      <c r="I32" s="1475">
        <v>7</v>
      </c>
      <c r="J32" s="1428">
        <v>7</v>
      </c>
      <c r="K32" s="1428"/>
      <c r="L32" s="1428">
        <v>7</v>
      </c>
      <c r="M32" s="1428"/>
      <c r="N32" s="1428"/>
      <c r="O32" s="1428"/>
      <c r="P32" s="1474"/>
      <c r="Q32" s="1472"/>
      <c r="R32" s="1471">
        <v>3</v>
      </c>
      <c r="S32" s="1471">
        <v>1</v>
      </c>
      <c r="T32" s="1471">
        <v>3</v>
      </c>
      <c r="U32" s="1471">
        <v>3</v>
      </c>
      <c r="V32" s="1471">
        <v>2</v>
      </c>
      <c r="W32" s="1473">
        <v>2</v>
      </c>
      <c r="X32" s="1472">
        <v>2</v>
      </c>
      <c r="Y32" s="1471"/>
      <c r="Z32" s="1471">
        <v>1</v>
      </c>
      <c r="AA32" s="1471"/>
      <c r="AB32" s="1471"/>
      <c r="AC32" s="1471"/>
      <c r="AD32" s="1471"/>
      <c r="AE32" s="1458">
        <f>IF(B32="","",COUNTIF(C32:P32,"&gt;0"))</f>
        <v>8</v>
      </c>
      <c r="AF32" s="1470">
        <f>SUM(Q32:W32)</f>
        <v>14</v>
      </c>
      <c r="AG32" s="1470">
        <f>SUM(CQ32:CW32)</f>
        <v>18</v>
      </c>
      <c r="AH32" s="1469">
        <f ca="1">IF(AG32=0,"X",IF(AG32&lt;LARGE(AG$2:AG$70,1)/3,"NS",RAND()*0.00001+AF32/AG32))</f>
        <v>0.77778095058664765</v>
      </c>
      <c r="AI32" s="1470">
        <f>SUM(X32:AD32)</f>
        <v>3</v>
      </c>
      <c r="AJ32" s="1470">
        <f>SUM(CX32:DD32)</f>
        <v>6</v>
      </c>
      <c r="AK32" s="1469">
        <f ca="1">IF(AJ32=0,"X",IF(AJ32&lt;LARGE(AJ$2:AJ$70,1)/4,"NS",RAND()*0.00001+AI32/AJ32))</f>
        <v>0.50000183069720461</v>
      </c>
      <c r="AL32" s="1470">
        <f>SUM(Q32:AD32)</f>
        <v>17</v>
      </c>
      <c r="AM32" s="1470">
        <f>SUM(CQ32:DD32)</f>
        <v>24</v>
      </c>
      <c r="AN32" s="1469">
        <f ca="1">IF(AM32=0,"X",IF(AM32&lt;LARGE(AM$2:AM$70,1)/3,"NS",RAND()*0.00001+AL32/AM32))</f>
        <v>0.70833888476711715</v>
      </c>
      <c r="AO32" s="1437">
        <f ca="1">IF(B32="",10,B32+RAND()*0.01)</f>
        <v>7.0008132142203729</v>
      </c>
      <c r="AP32" s="1437">
        <f ca="1">IF(AND(C32="",J32=""),"e",IF(J32="",IF($BD$1&lt;=7,C32+RAND()*0.01,"e"),J32+RAND()*0.01))</f>
        <v>7.0011671075781372</v>
      </c>
      <c r="AQ32" s="1437" t="str">
        <f ca="1">IF(AND(D32="",K32=""),"e",IF(K32="",IF($BD$1&lt;=7,D32+RAND()*0.01,"e"),K32+RAND()*0.01))</f>
        <v>e</v>
      </c>
      <c r="AR32" s="1437">
        <f ca="1">IF(AND(E32="",L32=""),"e",IF(L32="",IF($BD$1&lt;=7,E32+RAND()*0.01,"e"),L32+RAND()*0.01))</f>
        <v>7.0030067630253861</v>
      </c>
      <c r="AS32" s="1437" t="str">
        <f ca="1">IF(AND(F32="",M32=""),"e",IF(M32="",IF($BD$1&lt;=7,F32+RAND()*0.01,"e"),M32+RAND()*0.01))</f>
        <v>e</v>
      </c>
      <c r="AT32" s="1437" t="str">
        <f ca="1">IF(AND(G32="",N32=""),"e",IF(N32="",IF($BD$1&lt;=7,G32+RAND()*0.01,"e"),N32+RAND()*0.01))</f>
        <v>e</v>
      </c>
      <c r="AU32" s="1437" t="str">
        <f ca="1">IF(AND(H32="",O32=""),"e",IF(O32="",IF($BD$1&lt;=7,H32+RAND()*0.01,"e"),O32+RAND()*0.01))</f>
        <v>e</v>
      </c>
      <c r="AV32" s="1437" t="str">
        <f ca="1">IF(AND(I32="",P32=""),"e",IF(P32="",IF($BD$1&lt;=7,I32+RAND()*0.01,"e"),P32+RAND()*0.01))</f>
        <v>e</v>
      </c>
      <c r="AW32" s="1437"/>
      <c r="AX32" s="1436" t="str">
        <f>A32</f>
        <v>Sail Rémy</v>
      </c>
      <c r="AY32" s="1580" t="str">
        <f>IF(OR($H$2&gt;0,$H$3&gt;0,$H$4&gt;0,$H$5&gt;0,$H$6&gt;0,$H$7&gt;0,$H$8&gt;0,$H$2&gt;0),"",IF(COUNTIF(C32:H32,"")&gt;=5,"",IF(COUNTIF(C32:H32,SMALL(C32:H32,1))&gt;=2,SMALL(C32:H32,1),SMALL(C32:H32,2))))</f>
        <v/>
      </c>
      <c r="AZ32" s="1581">
        <f>IF(COUNTIF(J32:O32,"")&gt;=5,"",IF(COUNTIF(J32:O32,SMALL(J32:O32,1))&gt;=2,SMALL(J32:O32,1),SMALL(J32:O32,2)))</f>
        <v>7</v>
      </c>
      <c r="BA32" s="1401"/>
      <c r="BB32" s="1468" t="str">
        <f ca="1">IF(ROUND(BD32,0)=ROUND(BD31,0),"-",7)</f>
        <v>-</v>
      </c>
      <c r="BC32" s="1467" t="str">
        <f ca="1">IF($BD$1&lt;=7,[10]clt!U46,[10]clt!BO46)</f>
        <v>CTT MENIMUR 5</v>
      </c>
      <c r="BD32" s="1466">
        <f ca="1">IF($BD$1&lt;=7,[10]clt!V46,[10]clt!BP46)</f>
        <v>10.00001922981094</v>
      </c>
      <c r="BE32" s="1465">
        <f ca="1">IF($BD$1&lt;=7,[10]clt!W46,[10]clt!BQ46)</f>
        <v>6</v>
      </c>
      <c r="BF32" s="1465">
        <f ca="1">IF($BD$1&lt;=7,[10]clt!X46,[10]clt!BR46)</f>
        <v>2</v>
      </c>
      <c r="BG32" s="1465">
        <f ca="1">IF($BD$1&lt;=7,[10]clt!Y46,[10]clt!BS46)</f>
        <v>0</v>
      </c>
      <c r="BH32" s="1465">
        <f ca="1">IF($BD$1&lt;=7,[10]clt!Z46,[10]clt!BT46)</f>
        <v>4</v>
      </c>
      <c r="BI32" s="1465">
        <f ca="1">IF($BD$1&lt;=7,[10]clt!AA46,[10]clt!BU46)</f>
        <v>29</v>
      </c>
      <c r="BJ32" s="1465">
        <f ca="1">IF($BD$1&lt;=7,[10]clt!AB46,[10]clt!BV46)</f>
        <v>55</v>
      </c>
      <c r="BK32" s="1400"/>
      <c r="BL32" s="1468">
        <f ca="1">IF(ROUND(BN32,0)=ROUND(BN31,0),"-",7)</f>
        <v>7</v>
      </c>
      <c r="BM32" s="1467" t="str">
        <f ca="1">[10]clt!U55</f>
        <v>Exempt</v>
      </c>
      <c r="BN32" s="1466">
        <f ca="1">IF($BD$1&lt;=7,[10]clt!V55,[10]clt!BP55)</f>
        <v>9.00003237503992</v>
      </c>
      <c r="BO32" s="1465">
        <f ca="1">IF($BD$1&lt;=7,[10]clt!W55,[10]clt!BQ55)</f>
        <v>7</v>
      </c>
      <c r="BP32" s="1465">
        <f ca="1">IF($BD$1&lt;=7,[10]clt!X55,[10]clt!BR55)</f>
        <v>1</v>
      </c>
      <c r="BQ32" s="1465">
        <f ca="1">IF($BD$1&lt;=7,[10]clt!Z55,[10]clt!BT55)</f>
        <v>0</v>
      </c>
      <c r="BR32" s="1465">
        <f ca="1">IF($BD$1&lt;=7,[10]clt!Y55,[10]clt!BS55)</f>
        <v>6</v>
      </c>
      <c r="BS32" s="1465">
        <f ca="1">IF($BD$1&lt;=7,[10]clt!AA55,[10]clt!BU55)</f>
        <v>33</v>
      </c>
      <c r="BT32" s="1465">
        <f ca="1">IF($BD$1&lt;=7,[10]clt!AB55,[10]clt!BV55)</f>
        <v>65</v>
      </c>
      <c r="BU32" s="1459"/>
      <c r="BV32" s="1401"/>
      <c r="BW32" s="1401"/>
      <c r="BX32" s="1401"/>
      <c r="BY32" s="561">
        <f ca="1">IF($BD$1&lt;=7,COUNTIF($C32:$I32,"1")+RAND()*0.0001,COUNTIF($J32:$P32,"1")+RAND()*0.0001)</f>
        <v>7.0793184106784015E-5</v>
      </c>
      <c r="BZ32" s="561" t="str">
        <f ca="1">IF(BY32&lt;1,"",AX32)</f>
        <v/>
      </c>
      <c r="CA32" s="561">
        <f ca="1">IF($BD$1&lt;=7,COUNTIF($C32:$I32,"2")+RAND()*0.0001,COUNTIF($J32:$P32,"2")+RAND()*0.0001)</f>
        <v>3.912210326231015E-5</v>
      </c>
      <c r="CB32" s="561" t="str">
        <f ca="1">IF(CA32&lt;1,"",AX32)</f>
        <v/>
      </c>
      <c r="CC32" s="561">
        <f ca="1">IF($BD$1&lt;=7,COUNTIF($C32:$I32,"3")+RAND()*0.0001,COUNTIF($J32:$P32,"3")+RAND()*0.0001)</f>
        <v>8.0217165781362916E-5</v>
      </c>
      <c r="CD32" s="561" t="str">
        <f ca="1">IF(CC32&lt;1,"",AX32)</f>
        <v/>
      </c>
      <c r="CE32" s="561">
        <f ca="1">IF($BD$1&lt;=7,COUNTIF($C32:$I32,"4")+RAND()*0.0001,COUNTIF($J32:$P32,"4")+RAND()*0.0001)</f>
        <v>4.0003515101185138E-5</v>
      </c>
      <c r="CF32" s="561" t="str">
        <f ca="1">IF(CE32&lt;1,"",AX32)</f>
        <v/>
      </c>
      <c r="CG32" s="561">
        <f ca="1">IF($BD$1&lt;=7,COUNTIF($C32:$I32,"5")+RAND()*0.0001,COUNTIF($J32:$P32,"5")+RAND()*0.0001)</f>
        <v>4.6515751893113104E-5</v>
      </c>
      <c r="CH32" s="561" t="str">
        <f ca="1">IF(CG32&lt;1,"",AX32)</f>
        <v/>
      </c>
      <c r="CI32" s="561">
        <f ca="1">IF($BD$1&lt;=7,COUNTIF($C32:$I32,"6")+RAND()*0.0001,COUNTIF($J32:$P32,"6")+RAND()*0.0001)</f>
        <v>7.9360781366189401E-5</v>
      </c>
      <c r="CJ32" s="561" t="str">
        <f ca="1">IF(CI32&lt;1,"",AX32)</f>
        <v/>
      </c>
      <c r="CK32" s="561">
        <f ca="1">IF($BD$1&lt;=7,COUNTIF($C32:$I32,"7")+RAND()*0.0001,COUNTIF($J32:$P32,"7")+RAND()*0.0001)</f>
        <v>2.0000872298248638</v>
      </c>
      <c r="CL32" s="561" t="str">
        <f ca="1">IF(CK32&lt;1,"",AX32)</f>
        <v>Sail Rémy</v>
      </c>
      <c r="CM32" s="561">
        <f ca="1">IF($BD$1&lt;=7,COUNTIF($C32:$I32,"8")+RAND()*0.0001,COUNTIF($J32:$P32,"8")+RAND()*0.0001)</f>
        <v>9.4518898227843604E-5</v>
      </c>
      <c r="CN32" s="561" t="str">
        <f ca="1">IF(CM32&lt;1,"",AX32)</f>
        <v/>
      </c>
      <c r="CO32" s="1401"/>
      <c r="CP32" s="1401">
        <f ca="1">AE32+RAND()*0.01</f>
        <v>8.0070109701279986</v>
      </c>
      <c r="CQ32" s="1433">
        <f>VLOOKUP(C32,$CO$2:$DF$11,18,FALSE)</f>
        <v>0</v>
      </c>
      <c r="CR32" s="1433">
        <f>VLOOKUP(D32,$CO$2:$DF$11,18,FALSE)</f>
        <v>3</v>
      </c>
      <c r="CS32" s="1433">
        <f>VLOOKUP(E32,$CO$2:$DF$11,18,FALSE)</f>
        <v>3</v>
      </c>
      <c r="CT32" s="1433">
        <f>VLOOKUP(F32,$CO$2:$DF$11,18,FALSE)</f>
        <v>3</v>
      </c>
      <c r="CU32" s="1433">
        <f>VLOOKUP(G32,$CO$2:$DF$11,18,FALSE)</f>
        <v>3</v>
      </c>
      <c r="CV32" s="1433">
        <f>VLOOKUP(H32,$CO$2:$DF$11,18,FALSE)</f>
        <v>3</v>
      </c>
      <c r="CW32" s="1433">
        <f>VLOOKUP(I32,$CO$2:$DF$11,18,FALSE)</f>
        <v>3</v>
      </c>
      <c r="CX32" s="1433">
        <f>VLOOKUP(J32,$CO$2:$DF$11,18,FALSE)</f>
        <v>3</v>
      </c>
      <c r="CY32" s="1433">
        <f>VLOOKUP(K32,$CO$2:$DF$11,18,FALSE)</f>
        <v>0</v>
      </c>
      <c r="CZ32" s="1433">
        <f>VLOOKUP(L32,$CO$2:$DF$11,18,FALSE)</f>
        <v>3</v>
      </c>
      <c r="DA32" s="1433">
        <f>VLOOKUP(M32,$CO$2:$DF$11,18,FALSE)</f>
        <v>0</v>
      </c>
      <c r="DB32" s="1433">
        <f>VLOOKUP(N32,$CO$2:$DF$11,18,FALSE)</f>
        <v>0</v>
      </c>
      <c r="DC32" s="1433">
        <f>VLOOKUP(O32,$CO$2:$DF$11,18,FALSE)</f>
        <v>0</v>
      </c>
      <c r="DD32" s="1433">
        <f>VLOOKUP(P32,$CO$2:$DF$11,18,FALSE)</f>
        <v>0</v>
      </c>
      <c r="DE32" s="1432">
        <f ca="1">IF(AND(DI32=0,A32=""),AL32,IF(DI32=0,AL32+VLOOKUP(AX32,[10]Critérium!$AC$49:$DE$100,81,FALSE),AL32+VLOOKUP(AX32,[10]Critérium!$B$6:$T$22,19,FALSE)+VLOOKUP(AX32,[10]Critérium!$AC$49:$DE$100,81,FALSE)))</f>
        <v>56</v>
      </c>
      <c r="DF32" s="1431"/>
      <c r="DG32" s="1429">
        <f ca="1">IF(AND(DI32=0,A32=""),AM32,IF(DI32=0,AM32+VLOOKUP(AX32,[10]Critérium!$AC$49:$DH$100,84,FALSE),AM32+VLOOKUP(AX32,[10]Critérium!$B$6:$V$22,21,FALSE)+VLOOKUP(AX32,[10]Critérium!$AC$49:$DH$100,84,FALSE)))</f>
        <v>73</v>
      </c>
      <c r="DH32" s="1430">
        <f ca="1">IF(DG32=0,0,(DE32/DG32+RAND()*0.0001))</f>
        <v>0.76719427374645488</v>
      </c>
      <c r="DI32" s="1429" t="str">
        <f>VLOOKUP(AX32,[10]liste!AN:AR,5,FALSE)</f>
        <v>x</v>
      </c>
      <c r="DJ32" s="1427">
        <f ca="1">DG32+RAND()</f>
        <v>73.851848653558392</v>
      </c>
      <c r="DK32" s="1427" t="str">
        <f>A32</f>
        <v>Sail Rémy</v>
      </c>
      <c r="DL32" s="1427"/>
      <c r="DM32" s="1428">
        <f>HLOOKUP($DM$1,$C$1:$P$70,32,FALSE)</f>
        <v>0</v>
      </c>
      <c r="DN32" s="1428">
        <f>HLOOKUP($DN$1,$Q$1:$AD$70,32,FALSE)</f>
        <v>0</v>
      </c>
      <c r="DO32" s="1401"/>
      <c r="DP32" s="1464">
        <v>35</v>
      </c>
      <c r="DR32" s="1400">
        <f>IF(SUM(C32:P32)=0,0,(AE32*10/SUM(C32:P32)/2)*AE32/21)</f>
        <v>0.27210884353741499</v>
      </c>
      <c r="DS32" s="1427"/>
      <c r="DT32" s="1444"/>
      <c r="DU32" s="1444"/>
      <c r="DV32" s="1462" t="s">
        <v>773</v>
      </c>
      <c r="DW32" s="1462" t="s">
        <v>772</v>
      </c>
      <c r="DX32" s="1444"/>
      <c r="DY32" s="1444"/>
      <c r="DZ32" s="1444"/>
      <c r="EA32" s="1444"/>
      <c r="EB32" s="1427"/>
      <c r="EC32" s="1427"/>
      <c r="ED32" s="1427"/>
      <c r="EE32" s="1427"/>
      <c r="EF32" s="1427"/>
      <c r="EG32" s="1427"/>
      <c r="EH32" s="1427"/>
      <c r="EI32" s="1427"/>
      <c r="EJ32" s="1427"/>
      <c r="EK32" s="1427"/>
      <c r="EL32" s="1427"/>
      <c r="EM32" s="1427"/>
      <c r="EN32" s="1427"/>
      <c r="EO32" s="1427"/>
      <c r="EP32" s="1427"/>
      <c r="EQ32" s="1427"/>
      <c r="ER32" s="1427"/>
      <c r="ES32" s="1427"/>
      <c r="ET32" s="1427"/>
      <c r="EU32" s="1427"/>
      <c r="EV32" s="1427"/>
      <c r="EW32" s="1427"/>
      <c r="EX32" s="1427"/>
      <c r="EY32" s="1427"/>
      <c r="EZ32" s="1427"/>
      <c r="FA32" s="1427"/>
      <c r="FB32" s="1427"/>
      <c r="FC32" s="1427"/>
      <c r="FD32" s="1427"/>
      <c r="FE32" s="1427"/>
      <c r="FF32" s="1427"/>
      <c r="FG32" s="1427"/>
      <c r="FH32" s="1427"/>
      <c r="FI32" s="1427"/>
      <c r="FJ32" s="1427"/>
      <c r="FK32" s="1427"/>
      <c r="FL32" s="1427"/>
      <c r="FM32" s="1427"/>
      <c r="FN32" s="1427"/>
      <c r="FO32" s="1427"/>
      <c r="FP32" s="1427"/>
      <c r="FQ32" s="1427"/>
    </row>
    <row r="33" spans="1:173" s="1426" customFormat="1" ht="21.95" customHeight="1">
      <c r="A33" s="1477" t="str">
        <f>[10]points!B25</f>
        <v>Zaragoza José</v>
      </c>
      <c r="B33" s="1476">
        <v>7</v>
      </c>
      <c r="C33" s="1428">
        <v>3</v>
      </c>
      <c r="D33" s="1428">
        <v>7</v>
      </c>
      <c r="E33" s="1428"/>
      <c r="F33" s="1428">
        <v>7</v>
      </c>
      <c r="G33" s="1428">
        <v>7</v>
      </c>
      <c r="H33" s="1428">
        <v>7</v>
      </c>
      <c r="I33" s="1475">
        <v>7</v>
      </c>
      <c r="J33" s="1428">
        <v>7</v>
      </c>
      <c r="K33" s="1428">
        <v>7</v>
      </c>
      <c r="L33" s="1428">
        <v>7</v>
      </c>
      <c r="M33" s="1428">
        <v>7</v>
      </c>
      <c r="N33" s="1428">
        <v>7</v>
      </c>
      <c r="O33" s="1428"/>
      <c r="P33" s="1474">
        <v>6</v>
      </c>
      <c r="Q33" s="1472">
        <v>3</v>
      </c>
      <c r="R33" s="1471">
        <v>3</v>
      </c>
      <c r="S33" s="1471"/>
      <c r="T33" s="1471">
        <v>3</v>
      </c>
      <c r="U33" s="1471">
        <v>3</v>
      </c>
      <c r="V33" s="1471">
        <v>3</v>
      </c>
      <c r="W33" s="1473">
        <v>3</v>
      </c>
      <c r="X33" s="1472">
        <v>3</v>
      </c>
      <c r="Y33" s="1471">
        <v>3</v>
      </c>
      <c r="Z33" s="1471">
        <v>1</v>
      </c>
      <c r="AA33" s="1471">
        <v>2</v>
      </c>
      <c r="AB33" s="1471">
        <v>3</v>
      </c>
      <c r="AC33" s="1471"/>
      <c r="AD33" s="1471">
        <v>3</v>
      </c>
      <c r="AE33" s="1458">
        <f>IF(B33="","",COUNTIF(C33:P33,"&gt;0"))</f>
        <v>12</v>
      </c>
      <c r="AF33" s="1470">
        <f>SUM(Q33:W33)</f>
        <v>18</v>
      </c>
      <c r="AG33" s="1470">
        <f>SUM(CQ33:CW33)</f>
        <v>18</v>
      </c>
      <c r="AH33" s="1469">
        <f ca="1">IF(AG33=0,"X",IF(AG33&lt;LARGE(AG$2:AG$70,1)/3,"NS",RAND()*0.00001+AF33/AG33))</f>
        <v>1.0000004144093781</v>
      </c>
      <c r="AI33" s="1470">
        <f>SUM(X33:AD33)</f>
        <v>15</v>
      </c>
      <c r="AJ33" s="1470">
        <f>SUM(CX33:DD33)</f>
        <v>18</v>
      </c>
      <c r="AK33" s="1469">
        <f ca="1">IF(AJ33=0,"X",IF(AJ33&lt;LARGE(AJ$2:AJ$70,1)/4,"NS",RAND()*0.00001+AI33/AJ33))</f>
        <v>0.83333652391739943</v>
      </c>
      <c r="AL33" s="1470">
        <f>SUM(Q33:AD33)</f>
        <v>33</v>
      </c>
      <c r="AM33" s="1470">
        <f>SUM(CQ33:DD33)</f>
        <v>36</v>
      </c>
      <c r="AN33" s="1469">
        <f ca="1">IF(AM33=0,"X",IF(AM33&lt;LARGE(AM$2:AM$70,1)/3,"NS",RAND()*0.00001+AL33/AM33))</f>
        <v>0.91667158666423432</v>
      </c>
      <c r="AO33" s="1437">
        <f ca="1">IF(B33="",10,B33+RAND()*0.01)</f>
        <v>7.0017739197675573</v>
      </c>
      <c r="AP33" s="1437">
        <f ca="1">IF(AND(C33="",J33=""),"e",IF(J33="",IF($BD$1&lt;=7,C33+RAND()*0.01,"e"),J33+RAND()*0.01))</f>
        <v>7.0002210191652479</v>
      </c>
      <c r="AQ33" s="1437">
        <f ca="1">IF(AND(D33="",K33=""),"e",IF(K33="",IF($BD$1&lt;=7,D33+RAND()*0.01,"e"),K33+RAND()*0.01))</f>
        <v>7.0034430088226873</v>
      </c>
      <c r="AR33" s="1437">
        <f ca="1">IF(AND(E33="",L33=""),"e",IF(L33="",IF($BD$1&lt;=7,E33+RAND()*0.01,"e"),L33+RAND()*0.01))</f>
        <v>7.00704301273543</v>
      </c>
      <c r="AS33" s="1437">
        <f ca="1">IF(AND(F33="",M33=""),"e",IF(M33="",IF($BD$1&lt;=7,F33+RAND()*0.01,"e"),M33+RAND()*0.01))</f>
        <v>7.0000281225317833</v>
      </c>
      <c r="AT33" s="1437">
        <f ca="1">IF(AND(G33="",N33=""),"e",IF(N33="",IF($BD$1&lt;=7,G33+RAND()*0.01,"e"),N33+RAND()*0.01))</f>
        <v>7.0033809156440219</v>
      </c>
      <c r="AU33" s="1437" t="str">
        <f ca="1">IF(AND(H33="",O33=""),"e",IF(O33="",IF($BD$1&lt;=7,H33+RAND()*0.01,"e"),O33+RAND()*0.01))</f>
        <v>e</v>
      </c>
      <c r="AV33" s="1437">
        <f ca="1">IF(AND(I33="",P33=""),"e",IF(P33="",IF($BD$1&lt;=7,I33+RAND()*0.01,"e"),P33+RAND()*0.01))</f>
        <v>6.0026566983199752</v>
      </c>
      <c r="AW33" s="1437"/>
      <c r="AX33" s="1436" t="str">
        <f>A33</f>
        <v>Zaragoza José</v>
      </c>
      <c r="AY33" s="1580" t="str">
        <f>IF(OR($H$2&gt;0,$H$3&gt;0,$H$4&gt;0,$H$5&gt;0,$H$6&gt;0,$H$7&gt;0,$H$8&gt;0,$H$2&gt;0),"",IF(COUNTIF(C33:H33,"")&gt;=5,"",IF(COUNTIF(C33:H33,SMALL(C33:H33,1))&gt;=2,SMALL(C33:H33,1),SMALL(C33:H33,2))))</f>
        <v/>
      </c>
      <c r="AZ33" s="1581">
        <f>IF(COUNTIF(J33:O33,"")&gt;=5,"",IF(COUNTIF(J33:O33,SMALL(J33:O33,1))&gt;=2,SMALL(J33:O33,1),SMALL(J33:O33,2)))</f>
        <v>7</v>
      </c>
      <c r="BA33" s="1401"/>
      <c r="BB33" s="1590" t="s">
        <v>749</v>
      </c>
      <c r="BC33" s="1581" t="str">
        <f ca="1">IF(BB33="",IF(TODAY()&lt;[10]cal.Ph1!$B$41,"",IF($BD$1&lt;=$BA$1,"..........??........  "&amp;VLOOKUP("journée n° "&amp;$BD$1+1,'[10]résultats des équipes'!$B$1:$AD$110,29,FALSE)&amp;" "&amp;VLOOKUP($BD$1,'[10]résultats des équipes'!$E$90:$AL$103,28,FALSE)," contre "&amp;VLOOKUP($BD$1,'[10]résultats des équipes'!$E$90:$AL$103,28,FALSE))),IF(TODAY()&lt;[10]cal.Ph1!$B$41,"",IF($BD$1&lt;=$BA$1,VLOOKUP($BD$1,'[10]résultats des équipes'!$E$90:$AL$103,26,FALSE)&amp;" contre "&amp;VLOOKUP($BD$1,'[10]résultats des équipes'!$E$90:$AL$103,28,FALSE)," contre "&amp;VLOOKUP($BD$1,'[10]résultats des équipes'!$E$90:$AL$103,28,FALSE))))</f>
        <v>Déf 9 - 5 contre TT RHUYS 1</v>
      </c>
      <c r="BD33" s="1591"/>
      <c r="BE33" s="1592"/>
      <c r="BF33" s="1590"/>
      <c r="BG33" s="1590"/>
      <c r="BH33" s="1590"/>
      <c r="BI33" s="1590"/>
      <c r="BJ33" s="1590"/>
      <c r="BK33" s="1593"/>
      <c r="BL33" s="1590" t="s">
        <v>749</v>
      </c>
      <c r="BM33" s="1581" t="str">
        <f ca="1">IF(BL33="",IF(TODAY()&lt;[10]cal.Ph1!$B$41,"",IF($BD$1&lt;=$BA$1,"..........??........  "&amp;VLOOKUP("journée n° "&amp;$BD$1+1,'[10]résultats des équipes'!$B$1:$AJ$110,35,FALSE)&amp;" "&amp;VLOOKUP($BD$1,'[10]résultats des équipes'!$E$90:$AM$103,34,FALSE)," contre "&amp;VLOOKUP($BD$1,'[10]résultats des équipes'!$E$90:$AM$103,34,FALSE))),IF(TODAY()&lt;[10]cal.Ph1!$B$41,"",IF($BD$1&lt;=$BA$1,VLOOKUP($BD$1,'[10]résultats des équipes'!$E$90:$AL$103,32,FALSE)&amp;" contre "&amp;VLOOKUP($BD$1,'[10]résultats des équipes'!$E$90:$AL$103,34,FALSE)," contre "&amp;VLOOKUP($BD$1,'[10]résultats des équipes'!$E$90:$AL$103,34,FALSE))))</f>
        <v>Déf 9 - 5 contre SENE TT 3</v>
      </c>
      <c r="BN33" s="1591"/>
      <c r="BO33" s="1592"/>
      <c r="BP33" s="1594"/>
      <c r="BQ33" s="1594"/>
      <c r="BR33" s="1594"/>
      <c r="BS33" s="1594"/>
      <c r="BT33" s="1594"/>
      <c r="BU33" s="1593"/>
      <c r="BV33" s="1401"/>
      <c r="BW33" s="1401"/>
      <c r="BX33" s="1401"/>
      <c r="BY33" s="561">
        <f ca="1">IF($BD$1&lt;=7,COUNTIF($C33:$I33,"1")+RAND()*0.0001,COUNTIF($J33:$P33,"1")+RAND()*0.0001)</f>
        <v>4.620880569948606E-5</v>
      </c>
      <c r="BZ33" s="561" t="str">
        <f ca="1">IF(BY33&lt;1,"",AX33)</f>
        <v/>
      </c>
      <c r="CA33" s="561">
        <f ca="1">IF($BD$1&lt;=7,COUNTIF($C33:$I33,"2")+RAND()*0.0001,COUNTIF($J33:$P33,"2")+RAND()*0.0001)</f>
        <v>9.3652345417912959E-5</v>
      </c>
      <c r="CB33" s="561" t="str">
        <f ca="1">IF(CA33&lt;1,"",AX33)</f>
        <v/>
      </c>
      <c r="CC33" s="561">
        <f ca="1">IF($BD$1&lt;=7,COUNTIF($C33:$I33,"3")+RAND()*0.0001,COUNTIF($J33:$P33,"3")+RAND()*0.0001)</f>
        <v>4.3204836832608818E-5</v>
      </c>
      <c r="CD33" s="561" t="str">
        <f ca="1">IF(CC33&lt;1,"",AX33)</f>
        <v/>
      </c>
      <c r="CE33" s="561">
        <f ca="1">IF($BD$1&lt;=7,COUNTIF($C33:$I33,"4")+RAND()*0.0001,COUNTIF($J33:$P33,"4")+RAND()*0.0001)</f>
        <v>4.5665061976897463E-6</v>
      </c>
      <c r="CF33" s="561" t="str">
        <f ca="1">IF(CE33&lt;1,"",AX33)</f>
        <v/>
      </c>
      <c r="CG33" s="561">
        <f ca="1">IF($BD$1&lt;=7,COUNTIF($C33:$I33,"5")+RAND()*0.0001,COUNTIF($J33:$P33,"5")+RAND()*0.0001)</f>
        <v>7.9693230973623783E-5</v>
      </c>
      <c r="CH33" s="561" t="str">
        <f ca="1">IF(CG33&lt;1,"",AX33)</f>
        <v/>
      </c>
      <c r="CI33" s="561">
        <f ca="1">IF($BD$1&lt;=7,COUNTIF($C33:$I33,"6")+RAND()*0.0001,COUNTIF($J33:$P33,"6")+RAND()*0.0001)</f>
        <v>1.0000366048306442</v>
      </c>
      <c r="CJ33" s="561" t="str">
        <f ca="1">IF(CI33&lt;1,"",AX33)</f>
        <v>Zaragoza José</v>
      </c>
      <c r="CK33" s="561">
        <f ca="1">IF($BD$1&lt;=7,COUNTIF($C33:$I33,"7")+RAND()*0.0001,COUNTIF($J33:$P33,"7")+RAND()*0.0001)</f>
        <v>5.0000376127739248</v>
      </c>
      <c r="CL33" s="561" t="str">
        <f ca="1">IF(CK33&lt;1,"",AX33)</f>
        <v>Zaragoza José</v>
      </c>
      <c r="CM33" s="561">
        <f ca="1">IF($BD$1&lt;=7,COUNTIF($C33:$I33,"8")+RAND()*0.0001,COUNTIF($J33:$P33,"8")+RAND()*0.0001)</f>
        <v>4.1047902268390767E-5</v>
      </c>
      <c r="CN33" s="561" t="str">
        <f ca="1">IF(CM33&lt;1,"",AX33)</f>
        <v/>
      </c>
      <c r="CO33" s="1401"/>
      <c r="CP33" s="1401">
        <f ca="1">AE33+RAND()*0.01</f>
        <v>12.005428761379864</v>
      </c>
      <c r="CQ33" s="1433">
        <f>VLOOKUP(C33,$CO$2:$DF$11,18,FALSE)</f>
        <v>3</v>
      </c>
      <c r="CR33" s="1433">
        <f>VLOOKUP(D33,$CO$2:$DF$11,18,FALSE)</f>
        <v>3</v>
      </c>
      <c r="CS33" s="1433">
        <f>VLOOKUP(E33,$CO$2:$DF$11,18,FALSE)</f>
        <v>0</v>
      </c>
      <c r="CT33" s="1433">
        <f>VLOOKUP(F33,$CO$2:$DF$11,18,FALSE)</f>
        <v>3</v>
      </c>
      <c r="CU33" s="1433">
        <f>VLOOKUP(G33,$CO$2:$DF$11,18,FALSE)</f>
        <v>3</v>
      </c>
      <c r="CV33" s="1433">
        <f>VLOOKUP(H33,$CO$2:$DF$11,18,FALSE)</f>
        <v>3</v>
      </c>
      <c r="CW33" s="1433">
        <f>VLOOKUP(I33,$CO$2:$DF$11,18,FALSE)</f>
        <v>3</v>
      </c>
      <c r="CX33" s="1433">
        <f>VLOOKUP(J33,$CO$2:$DF$11,18,FALSE)</f>
        <v>3</v>
      </c>
      <c r="CY33" s="1433">
        <f>VLOOKUP(K33,$CO$2:$DF$11,18,FALSE)</f>
        <v>3</v>
      </c>
      <c r="CZ33" s="1433">
        <f>VLOOKUP(L33,$CO$2:$DF$11,18,FALSE)</f>
        <v>3</v>
      </c>
      <c r="DA33" s="1433">
        <f>VLOOKUP(M33,$CO$2:$DF$11,18,FALSE)</f>
        <v>3</v>
      </c>
      <c r="DB33" s="1433">
        <f>VLOOKUP(N33,$CO$2:$DF$11,18,FALSE)</f>
        <v>3</v>
      </c>
      <c r="DC33" s="1433">
        <f>VLOOKUP(O33,$CO$2:$DF$11,18,FALSE)</f>
        <v>0</v>
      </c>
      <c r="DD33" s="1433">
        <f>VLOOKUP(P33,$CO$2:$DF$11,18,FALSE)</f>
        <v>3</v>
      </c>
      <c r="DE33" s="1432">
        <f ca="1">IF(AND(DI33=0,A33=""),AL33,IF(DI33=0,AL33+VLOOKUP(AX33,[10]Critérium!$AC$49:$DE$100,81,FALSE),AL33+VLOOKUP(AX33,[10]Critérium!$B$6:$T$22,19,FALSE)+VLOOKUP(AX33,[10]Critérium!$AC$49:$DE$100,81,FALSE)))</f>
        <v>33</v>
      </c>
      <c r="DF33" s="1431"/>
      <c r="DG33" s="1429">
        <f ca="1">IF(AND(DI33=0,A33=""),AM33,IF(DI33=0,AM33+VLOOKUP(AX33,[10]Critérium!$AC$49:$DH$100,84,FALSE),AM33+VLOOKUP(AX33,[10]Critérium!$B$6:$V$22,21,FALSE)+VLOOKUP(AX33,[10]Critérium!$AC$49:$DH$100,84,FALSE)))</f>
        <v>36</v>
      </c>
      <c r="DH33" s="1430">
        <f ca="1">IF(DG33=0,0,(DE33/DG33+RAND()*0.0001))</f>
        <v>0.91675204564150148</v>
      </c>
      <c r="DI33" s="1429">
        <f>VLOOKUP(AX33,[10]liste!AN:AR,5,FALSE)</f>
        <v>0</v>
      </c>
      <c r="DJ33" s="1427">
        <f ca="1">DG33+RAND()</f>
        <v>36.27963958454982</v>
      </c>
      <c r="DK33" s="1427" t="str">
        <f>A33</f>
        <v>Zaragoza José</v>
      </c>
      <c r="DL33" s="1427"/>
      <c r="DM33" s="1428">
        <f>HLOOKUP($DM$1,$C$1:$P$70,33,FALSE)</f>
        <v>6</v>
      </c>
      <c r="DN33" s="1428">
        <f>HLOOKUP($DN$1,$Q$1:$AD$70,33,FALSE)</f>
        <v>3</v>
      </c>
      <c r="DO33" s="1401"/>
      <c r="DP33" s="1463">
        <v>40</v>
      </c>
      <c r="DR33" s="1400">
        <f>IF(SUM(C33:P33)=0,0,(AE33*10/SUM(C33:P33)/2)*AE33/21)</f>
        <v>0.43399638336347202</v>
      </c>
      <c r="DS33" s="1427"/>
      <c r="DT33" s="1444"/>
      <c r="DU33" s="1444"/>
      <c r="DV33" s="1462" t="s">
        <v>771</v>
      </c>
      <c r="DW33" s="1462" t="s">
        <v>770</v>
      </c>
      <c r="DX33" s="1444"/>
      <c r="DY33" s="1444"/>
      <c r="DZ33" s="1444"/>
      <c r="EA33" s="1444"/>
      <c r="EB33" s="1427"/>
      <c r="EC33" s="1427"/>
      <c r="ED33" s="1427"/>
      <c r="EE33" s="1427"/>
      <c r="EF33" s="1427"/>
      <c r="EG33" s="1427"/>
      <c r="EH33" s="1427"/>
      <c r="EI33" s="1427"/>
      <c r="EJ33" s="1427"/>
      <c r="EK33" s="1427"/>
      <c r="EL33" s="1427"/>
      <c r="EM33" s="1427"/>
      <c r="EN33" s="1427"/>
      <c r="EO33" s="1427"/>
      <c r="EP33" s="1427"/>
      <c r="EQ33" s="1427"/>
      <c r="ER33" s="1427"/>
      <c r="ES33" s="1427"/>
      <c r="ET33" s="1427"/>
      <c r="EU33" s="1427"/>
      <c r="EV33" s="1427"/>
      <c r="EW33" s="1427"/>
      <c r="EX33" s="1427"/>
      <c r="EY33" s="1427"/>
      <c r="EZ33" s="1427"/>
      <c r="FA33" s="1427"/>
      <c r="FB33" s="1427"/>
      <c r="FC33" s="1427"/>
      <c r="FD33" s="1427"/>
      <c r="FE33" s="1427"/>
      <c r="FF33" s="1427"/>
      <c r="FG33" s="1427"/>
      <c r="FH33" s="1427"/>
      <c r="FI33" s="1427"/>
      <c r="FJ33" s="1427"/>
      <c r="FK33" s="1427"/>
      <c r="FL33" s="1427"/>
      <c r="FM33" s="1427"/>
      <c r="FN33" s="1427"/>
      <c r="FO33" s="1427"/>
      <c r="FP33" s="1427"/>
      <c r="FQ33" s="1427"/>
    </row>
    <row r="34" spans="1:173" s="1426" customFormat="1" ht="21.95" customHeight="1">
      <c r="A34" s="1477" t="str">
        <f>[10]points!B51</f>
        <v>Jugé Léana</v>
      </c>
      <c r="B34" s="1476">
        <v>8</v>
      </c>
      <c r="C34" s="1428"/>
      <c r="D34" s="1428">
        <v>5</v>
      </c>
      <c r="E34" s="1428">
        <v>5</v>
      </c>
      <c r="F34" s="1428"/>
      <c r="G34" s="1428">
        <v>5</v>
      </c>
      <c r="H34" s="1428"/>
      <c r="I34" s="1475">
        <v>5</v>
      </c>
      <c r="J34" s="1428"/>
      <c r="K34" s="1428">
        <v>8</v>
      </c>
      <c r="L34" s="1428"/>
      <c r="M34" s="1428">
        <v>7</v>
      </c>
      <c r="N34" s="1428"/>
      <c r="O34" s="1428">
        <v>8</v>
      </c>
      <c r="P34" s="1474">
        <v>7</v>
      </c>
      <c r="Q34" s="1472"/>
      <c r="R34" s="1471">
        <v>1</v>
      </c>
      <c r="S34" s="1471">
        <v>0</v>
      </c>
      <c r="T34" s="1471"/>
      <c r="U34" s="1471">
        <v>0</v>
      </c>
      <c r="V34" s="1471"/>
      <c r="W34" s="1473">
        <v>0</v>
      </c>
      <c r="X34" s="1472"/>
      <c r="Y34" s="1471">
        <v>0</v>
      </c>
      <c r="Z34" s="1471"/>
      <c r="AA34" s="1471">
        <v>0</v>
      </c>
      <c r="AB34" s="1471"/>
      <c r="AC34" s="1471">
        <v>1</v>
      </c>
      <c r="AD34" s="1471">
        <v>0</v>
      </c>
      <c r="AE34" s="1458">
        <f>IF(B34="","",COUNTIF(C34:P34,"&gt;0"))</f>
        <v>8</v>
      </c>
      <c r="AF34" s="1470">
        <f>SUM(Q34:W34)</f>
        <v>1</v>
      </c>
      <c r="AG34" s="1470">
        <f>SUM(CQ34:CW34)</f>
        <v>12</v>
      </c>
      <c r="AH34" s="1469">
        <f ca="1">IF(AG34=0,"X",IF(AG34&lt;LARGE(AG$2:AG$70,1)/3,"NS",RAND()*0.00001+AF34/AG34))</f>
        <v>8.3339714050525024E-2</v>
      </c>
      <c r="AI34" s="1470">
        <f>SUM(X34:AD34)</f>
        <v>1</v>
      </c>
      <c r="AJ34" s="1470">
        <f>SUM(CX34:DD34)</f>
        <v>12</v>
      </c>
      <c r="AK34" s="1469">
        <f ca="1">IF(AJ34=0,"X",IF(AJ34&lt;LARGE(AJ$2:AJ$70,1)/4,"NS",RAND()*0.00001+AI34/AJ34))</f>
        <v>8.334052348107511E-2</v>
      </c>
      <c r="AL34" s="1470">
        <f>SUM(Q34:AD34)</f>
        <v>2</v>
      </c>
      <c r="AM34" s="1470">
        <f>SUM(CQ34:DD34)</f>
        <v>24</v>
      </c>
      <c r="AN34" s="1469">
        <f ca="1">IF(AM34=0,"X",IF(AM34&lt;LARGE(AM$2:AM$70,1)/3,"NS",RAND()*0.00001+AL34/AM34))</f>
        <v>8.3337182066976476E-2</v>
      </c>
      <c r="AO34" s="1437">
        <f ca="1">IF(B34="",10,B34+RAND()*0.01)</f>
        <v>8.0078304750792082</v>
      </c>
      <c r="AP34" s="1437" t="str">
        <f ca="1">IF(AND(C34="",J34=""),"e",IF(J34="",IF($BD$1&lt;=7,C34+RAND()*0.01,"e"),J34+RAND()*0.01))</f>
        <v>e</v>
      </c>
      <c r="AQ34" s="1437">
        <f ca="1">IF(AND(D34="",K34=""),"e",IF(K34="",IF($BD$1&lt;=7,D34+RAND()*0.01,"e"),K34+RAND()*0.01))</f>
        <v>8.0031920090306095</v>
      </c>
      <c r="AR34" s="1437" t="str">
        <f ca="1">IF(AND(E34="",L34=""),"e",IF(L34="",IF($BD$1&lt;=7,E34+RAND()*0.01,"e"),L34+RAND()*0.01))</f>
        <v>e</v>
      </c>
      <c r="AS34" s="1437">
        <f ca="1">IF(AND(F34="",M34=""),"e",IF(M34="",IF($BD$1&lt;=7,F34+RAND()*0.01,"e"),M34+RAND()*0.01))</f>
        <v>7.0030618889448109</v>
      </c>
      <c r="AT34" s="1437" t="str">
        <f ca="1">IF(AND(G34="",N34=""),"e",IF(N34="",IF($BD$1&lt;=7,G34+RAND()*0.01,"e"),N34+RAND()*0.01))</f>
        <v>e</v>
      </c>
      <c r="AU34" s="1437">
        <f ca="1">IF(AND(H34="",O34=""),"e",IF(O34="",IF($BD$1&lt;=7,H34+RAND()*0.01,"e"),O34+RAND()*0.01))</f>
        <v>8.0060805385720286</v>
      </c>
      <c r="AV34" s="1437">
        <f ca="1">IF(AND(I34="",P34=""),"e",IF(P34="",IF($BD$1&lt;=7,I34+RAND()*0.01,"e"),P34+RAND()*0.01))</f>
        <v>7.0016427833283679</v>
      </c>
      <c r="AW34" s="1437"/>
      <c r="AX34" s="1436" t="str">
        <f>A34</f>
        <v>Jugé Léana</v>
      </c>
      <c r="AY34" s="1580" t="str">
        <f>IF(OR($H$2&gt;0,$H$3&gt;0,$H$4&gt;0,$H$5&gt;0,$H$6&gt;0,$H$7&gt;0,$H$8&gt;0,$H$2&gt;0),"",IF(COUNTIF(C34:H34,"")&gt;=5,"",IF(COUNTIF(C34:H34,SMALL(C34:H34,1))&gt;=2,SMALL(C34:H34,1),SMALL(C34:H34,2))))</f>
        <v/>
      </c>
      <c r="AZ34" s="1581">
        <f>IF(COUNTIF(J34:O34,"")&gt;=5,"",IF(COUNTIF(J34:O34,SMALL(J34:O34,1))&gt;=2,SMALL(J34:O34,1),SMALL(J34:O34,2)))</f>
        <v>8</v>
      </c>
      <c r="BA34" s="1401"/>
      <c r="BB34" s="1595" t="str">
        <f>VLOOKUP("journée "&amp;$BD$1,'[10]résultats commentaires'!R116:T129,3,FALSE)</f>
        <v>Une équipe rajeunie mais encore trop tendre .</v>
      </c>
      <c r="BC34" s="1592"/>
      <c r="BD34" s="1596"/>
      <c r="BE34" s="1597"/>
      <c r="BF34" s="1597"/>
      <c r="BG34" s="1597"/>
      <c r="BH34" s="1597"/>
      <c r="BI34" s="1597"/>
      <c r="BJ34" s="1597"/>
      <c r="BK34" s="1590"/>
      <c r="BL34" s="1595" t="str">
        <f>VLOOKUP("journée "&amp;$BD$1,'[10]résultats commentaires'!R139:T152,3,FALSE)</f>
        <v>L'expérience a fait la différence</v>
      </c>
      <c r="BM34" s="1590"/>
      <c r="BN34" s="1590"/>
      <c r="BO34" s="1590"/>
      <c r="BP34" s="1590"/>
      <c r="BQ34" s="1590"/>
      <c r="BR34" s="1590"/>
      <c r="BS34" s="1590"/>
      <c r="BT34" s="1590"/>
      <c r="BU34" s="1590"/>
      <c r="BV34" s="1401"/>
      <c r="BW34" s="1401"/>
      <c r="BX34" s="1401"/>
      <c r="BY34" s="561">
        <f ca="1">IF($BD$1&lt;=7,COUNTIF($C34:$I34,"1")+RAND()*0.0001,COUNTIF($J34:$P34,"1")+RAND()*0.0001)</f>
        <v>5.2695041294572812E-5</v>
      </c>
      <c r="BZ34" s="561" t="str">
        <f ca="1">IF(BY34&lt;1,"",AX34)</f>
        <v/>
      </c>
      <c r="CA34" s="561">
        <f ca="1">IF($BD$1&lt;=7,COUNTIF($C34:$I34,"2")+RAND()*0.0001,COUNTIF($J34:$P34,"2")+RAND()*0.0001)</f>
        <v>3.5148558096984029E-6</v>
      </c>
      <c r="CB34" s="561" t="str">
        <f ca="1">IF(CA34&lt;1,"",AX34)</f>
        <v/>
      </c>
      <c r="CC34" s="561">
        <f ca="1">IF($BD$1&lt;=7,COUNTIF($C34:$I34,"3")+RAND()*0.0001,COUNTIF($J34:$P34,"3")+RAND()*0.0001)</f>
        <v>7.8226832877313198E-5</v>
      </c>
      <c r="CD34" s="561" t="str">
        <f ca="1">IF(CC34&lt;1,"",AX34)</f>
        <v/>
      </c>
      <c r="CE34" s="561">
        <f ca="1">IF($BD$1&lt;=7,COUNTIF($C34:$I34,"4")+RAND()*0.0001,COUNTIF($J34:$P34,"4")+RAND()*0.0001)</f>
        <v>9.5122595882982051E-5</v>
      </c>
      <c r="CF34" s="561" t="str">
        <f ca="1">IF(CE34&lt;1,"",AX34)</f>
        <v/>
      </c>
      <c r="CG34" s="561">
        <f ca="1">IF($BD$1&lt;=7,COUNTIF($C34:$I34,"5")+RAND()*0.0001,COUNTIF($J34:$P34,"5")+RAND()*0.0001)</f>
        <v>6.3950546264172713E-5</v>
      </c>
      <c r="CH34" s="561" t="str">
        <f ca="1">IF(CG34&lt;1,"",AX34)</f>
        <v/>
      </c>
      <c r="CI34" s="561">
        <f ca="1">IF($BD$1&lt;=7,COUNTIF($C34:$I34,"6")+RAND()*0.0001,COUNTIF($J34:$P34,"6")+RAND()*0.0001)</f>
        <v>2.3094280019258397E-5</v>
      </c>
      <c r="CJ34" s="561" t="str">
        <f ca="1">IF(CI34&lt;1,"",AX34)</f>
        <v/>
      </c>
      <c r="CK34" s="561">
        <f ca="1">IF($BD$1&lt;=7,COUNTIF($C34:$I34,"7")+RAND()*0.0001,COUNTIF($J34:$P34,"7")+RAND()*0.0001)</f>
        <v>2.00009588532189</v>
      </c>
      <c r="CL34" s="561" t="str">
        <f ca="1">IF(CK34&lt;1,"",AX34)</f>
        <v>Jugé Léana</v>
      </c>
      <c r="CM34" s="561">
        <f ca="1">IF($BD$1&lt;=7,COUNTIF($C34:$I34,"8")+RAND()*0.0001,COUNTIF($J34:$P34,"8")+RAND()*0.0001)</f>
        <v>2.0000704032142003</v>
      </c>
      <c r="CN34" s="561" t="str">
        <f ca="1">IF(CM34&lt;1,"",AX34)</f>
        <v>Jugé Léana</v>
      </c>
      <c r="CO34" s="1401"/>
      <c r="CP34" s="1401">
        <f ca="1">AE34+RAND()*0.01</f>
        <v>8.0034471122433271</v>
      </c>
      <c r="CQ34" s="1433">
        <f>VLOOKUP(C34,$CO$2:$DF$11,18,FALSE)</f>
        <v>0</v>
      </c>
      <c r="CR34" s="1433">
        <f>VLOOKUP(D34,$CO$2:$DF$11,18,FALSE)</f>
        <v>3</v>
      </c>
      <c r="CS34" s="1433">
        <f>VLOOKUP(E34,$CO$2:$DF$11,18,FALSE)</f>
        <v>3</v>
      </c>
      <c r="CT34" s="1433">
        <f>VLOOKUP(F34,$CO$2:$DF$11,18,FALSE)</f>
        <v>0</v>
      </c>
      <c r="CU34" s="1433">
        <f>VLOOKUP(G34,$CO$2:$DF$11,18,FALSE)</f>
        <v>3</v>
      </c>
      <c r="CV34" s="1433">
        <f>VLOOKUP(H34,$CO$2:$DF$11,18,FALSE)</f>
        <v>0</v>
      </c>
      <c r="CW34" s="1433">
        <f>VLOOKUP(I34,$CO$2:$DF$11,18,FALSE)</f>
        <v>3</v>
      </c>
      <c r="CX34" s="1433">
        <f>VLOOKUP(J34,$CO$2:$DF$11,18,FALSE)</f>
        <v>0</v>
      </c>
      <c r="CY34" s="1433">
        <f>VLOOKUP(K34,$CO$2:$DF$11,18,FALSE)</f>
        <v>3</v>
      </c>
      <c r="CZ34" s="1433">
        <f>VLOOKUP(L34,$CO$2:$DF$11,18,FALSE)</f>
        <v>0</v>
      </c>
      <c r="DA34" s="1433">
        <f>VLOOKUP(M34,$CO$2:$DF$11,18,FALSE)</f>
        <v>3</v>
      </c>
      <c r="DB34" s="1433">
        <f>VLOOKUP(N34,$CO$2:$DF$11,18,FALSE)</f>
        <v>0</v>
      </c>
      <c r="DC34" s="1433">
        <f>VLOOKUP(O34,$CO$2:$DF$11,18,FALSE)</f>
        <v>3</v>
      </c>
      <c r="DD34" s="1433">
        <f>VLOOKUP(P34,$CO$2:$DF$11,18,FALSE)</f>
        <v>3</v>
      </c>
      <c r="DE34" s="1432">
        <f ca="1">IF(AND(DI34=0,A34=""),AL34,IF(DI34=0,AL34+VLOOKUP(AX34,[10]Critérium!$AC$49:$DE$100,81,FALSE),AL34+VLOOKUP(AX34,[10]Critérium!$B$6:$T$22,19,FALSE)+VLOOKUP(AX34,[10]Critérium!$AC$49:$DE$100,81,FALSE)))</f>
        <v>2</v>
      </c>
      <c r="DF34" s="1431"/>
      <c r="DG34" s="1429">
        <f ca="1">IF(AND(DI34=0,A34=""),AM34,IF(DI34=0,AM34+VLOOKUP(AX34,[10]Critérium!$AC$49:$DH$100,84,FALSE),AM34+VLOOKUP(AX34,[10]Critérium!$B$6:$V$22,21,FALSE)+VLOOKUP(AX34,[10]Critérium!$AC$49:$DH$100,84,FALSE)))</f>
        <v>28</v>
      </c>
      <c r="DH34" s="1430">
        <f ca="1">IF(DG34=0,0,(DE34/DG34+RAND()*0.0001))</f>
        <v>7.1445416302322401E-2</v>
      </c>
      <c r="DI34" s="1429">
        <f>VLOOKUP(AX34,[10]liste!AN:AR,5,FALSE)</f>
        <v>0</v>
      </c>
      <c r="DJ34" s="1427">
        <f ca="1">DG34+RAND()</f>
        <v>28.695442185208492</v>
      </c>
      <c r="DK34" s="1427" t="str">
        <f>A34</f>
        <v>Jugé Léana</v>
      </c>
      <c r="DL34" s="1427"/>
      <c r="DM34" s="1428">
        <f>HLOOKUP($DM$1,$C$1:$P$70,34,FALSE)</f>
        <v>7</v>
      </c>
      <c r="DN34" s="1428">
        <f>HLOOKUP($DN$1,$Q$1:$AD$70,34,FALSE)</f>
        <v>0</v>
      </c>
      <c r="DO34" s="1401"/>
      <c r="DP34" s="1464">
        <v>45</v>
      </c>
      <c r="DR34" s="1400">
        <f>IF(SUM(C34:P34)=0,0,(AE34*10/SUM(C34:P34)/2)*AE34/21)</f>
        <v>0.30476190476190479</v>
      </c>
      <c r="DS34" s="1427"/>
      <c r="DT34" s="1444"/>
      <c r="DU34" s="1444"/>
      <c r="DV34" s="1462" t="s">
        <v>769</v>
      </c>
      <c r="DW34" s="1462" t="s">
        <v>768</v>
      </c>
      <c r="DX34" s="1444"/>
      <c r="DY34" s="1444"/>
      <c r="DZ34" s="1444"/>
      <c r="EA34" s="1444"/>
      <c r="EB34" s="1427"/>
      <c r="EC34" s="1427"/>
      <c r="ED34" s="1427"/>
      <c r="EE34" s="1427"/>
      <c r="EF34" s="1427"/>
      <c r="EG34" s="1427"/>
      <c r="EH34" s="1427"/>
      <c r="EI34" s="1427"/>
      <c r="EJ34" s="1427"/>
      <c r="EK34" s="1427"/>
      <c r="EL34" s="1427"/>
      <c r="EM34" s="1427"/>
      <c r="EN34" s="1427"/>
      <c r="EO34" s="1427"/>
      <c r="EP34" s="1427"/>
      <c r="EQ34" s="1427"/>
      <c r="ER34" s="1427"/>
      <c r="ES34" s="1427"/>
      <c r="ET34" s="1427"/>
      <c r="EU34" s="1427"/>
      <c r="EV34" s="1427"/>
      <c r="EW34" s="1427"/>
      <c r="EX34" s="1427"/>
      <c r="EY34" s="1427"/>
      <c r="EZ34" s="1427"/>
      <c r="FA34" s="1427"/>
      <c r="FB34" s="1427"/>
      <c r="FC34" s="1427"/>
      <c r="FD34" s="1427"/>
      <c r="FE34" s="1427"/>
      <c r="FF34" s="1427"/>
      <c r="FG34" s="1427"/>
      <c r="FH34" s="1427"/>
      <c r="FI34" s="1427"/>
      <c r="FJ34" s="1427"/>
      <c r="FK34" s="1427"/>
      <c r="FL34" s="1427"/>
      <c r="FM34" s="1427"/>
      <c r="FN34" s="1427"/>
      <c r="FO34" s="1427"/>
      <c r="FP34" s="1427"/>
      <c r="FQ34" s="1427"/>
    </row>
    <row r="35" spans="1:173" s="1426" customFormat="1" ht="21.95" customHeight="1">
      <c r="A35" s="1477" t="str">
        <f>[10]points!B56</f>
        <v>Sail Anthony</v>
      </c>
      <c r="B35" s="1476">
        <v>8</v>
      </c>
      <c r="C35" s="1428"/>
      <c r="D35" s="1428"/>
      <c r="E35" s="1428"/>
      <c r="F35" s="1428"/>
      <c r="G35" s="1428"/>
      <c r="H35" s="1428"/>
      <c r="I35" s="1475"/>
      <c r="J35" s="1428">
        <v>8</v>
      </c>
      <c r="K35" s="1428">
        <v>8</v>
      </c>
      <c r="L35" s="1428">
        <v>8</v>
      </c>
      <c r="M35" s="1428">
        <v>8</v>
      </c>
      <c r="N35" s="1428"/>
      <c r="O35" s="1428">
        <v>8</v>
      </c>
      <c r="P35" s="1474">
        <v>8</v>
      </c>
      <c r="Q35" s="1472">
        <v>0</v>
      </c>
      <c r="R35" s="1471"/>
      <c r="S35" s="1471"/>
      <c r="T35" s="1471"/>
      <c r="U35" s="1471"/>
      <c r="V35" s="1471"/>
      <c r="W35" s="1473"/>
      <c r="X35" s="1472"/>
      <c r="Y35" s="1471">
        <v>0</v>
      </c>
      <c r="Z35" s="1471">
        <v>0</v>
      </c>
      <c r="AA35" s="1471">
        <v>1</v>
      </c>
      <c r="AB35" s="1471"/>
      <c r="AC35" s="1471">
        <v>1</v>
      </c>
      <c r="AD35" s="1471">
        <v>1</v>
      </c>
      <c r="AE35" s="1458">
        <f>IF(B35="","",COUNTIF(C35:P35,"&gt;0"))</f>
        <v>6</v>
      </c>
      <c r="AF35" s="1470">
        <f>SUM(Q35:W35)</f>
        <v>0</v>
      </c>
      <c r="AG35" s="1470">
        <f>SUM(CQ35:CW35)</f>
        <v>0</v>
      </c>
      <c r="AH35" s="1469" t="str">
        <f ca="1">IF(AG35=0,"X",IF(AG35&lt;LARGE(AG$2:AG$70,1)/3,"NS",RAND()*0.00001+AF35/AG35))</f>
        <v>X</v>
      </c>
      <c r="AI35" s="1470">
        <f>SUM(X35:AD35)</f>
        <v>3</v>
      </c>
      <c r="AJ35" s="1470">
        <f>SUM(CX35:DD35)</f>
        <v>18</v>
      </c>
      <c r="AK35" s="1469">
        <f ca="1">IF(AJ35=0,"X",IF(AJ35&lt;LARGE(AJ$2:AJ$70,1)/4,"NS",RAND()*0.00001+AI35/AJ35))</f>
        <v>0.16667107091787881</v>
      </c>
      <c r="AL35" s="1470">
        <f>SUM(Q35:AD35)</f>
        <v>3</v>
      </c>
      <c r="AM35" s="1470">
        <f>SUM(CQ35:DD35)</f>
        <v>18</v>
      </c>
      <c r="AN35" s="1469">
        <f ca="1">IF(AM35=0,"X",IF(AM35&lt;LARGE(AM$2:AM$70,1)/3,"NS",RAND()*0.00001+AL35/AM35))</f>
        <v>0.16667540582763934</v>
      </c>
      <c r="AO35" s="1437">
        <f ca="1">IF(B35="",10,B35+RAND()*0.01)</f>
        <v>8.0014122839892483</v>
      </c>
      <c r="AP35" s="1437">
        <f ca="1">IF(AND(C35="",J35=""),"e",IF(J35="",IF($BD$1&lt;=7,C35+RAND()*0.01,"e"),J35+RAND()*0.01))</f>
        <v>8.0019258581522319</v>
      </c>
      <c r="AQ35" s="1437">
        <f ca="1">IF(AND(D35="",K35=""),"e",IF(K35="",IF($BD$1&lt;=7,D35+RAND()*0.01,"e"),K35+RAND()*0.01))</f>
        <v>8.008836737904895</v>
      </c>
      <c r="AR35" s="1437">
        <f ca="1">IF(AND(E35="",L35=""),"e",IF(L35="",IF($BD$1&lt;=7,E35+RAND()*0.01,"e"),L35+RAND()*0.01))</f>
        <v>8.0065697443355788</v>
      </c>
      <c r="AS35" s="1437">
        <f ca="1">IF(AND(F35="",M35=""),"e",IF(M35="",IF($BD$1&lt;=7,F35+RAND()*0.01,"e"),M35+RAND()*0.01))</f>
        <v>8.0050905910315588</v>
      </c>
      <c r="AT35" s="1437" t="str">
        <f ca="1">IF(AND(G35="",N35=""),"e",IF(N35="",IF($BD$1&lt;=7,G35+RAND()*0.01,"e"),N35+RAND()*0.01))</f>
        <v>e</v>
      </c>
      <c r="AU35" s="1437">
        <f ca="1">IF(AND(H35="",O35=""),"e",IF(O35="",IF($BD$1&lt;=7,H35+RAND()*0.01,"e"),O35+RAND()*0.01))</f>
        <v>8.0082269515269271</v>
      </c>
      <c r="AV35" s="1437">
        <f ca="1">IF(AND(I35="",P35=""),"e",IF(P35="",IF($BD$1&lt;=7,I35+RAND()*0.01,"e"),P35+RAND()*0.01))</f>
        <v>8.0060677558615723</v>
      </c>
      <c r="AW35" s="1437"/>
      <c r="AX35" s="1436" t="str">
        <f>A35</f>
        <v>Sail Anthony</v>
      </c>
      <c r="AY35" s="1580" t="str">
        <f>IF(OR($H$2&gt;0,$H$3&gt;0,$H$4&gt;0,$H$5&gt;0,$H$6&gt;0,$H$7&gt;0,$H$8&gt;0,$H$2&gt;0),"",IF(COUNTIF(C35:H35,"")&gt;=5,"",IF(COUNTIF(C35:H35,SMALL(C35:H35,1))&gt;=2,SMALL(C35:H35,1),SMALL(C35:H35,2))))</f>
        <v/>
      </c>
      <c r="AZ35" s="1581">
        <f>IF(COUNTIF(J35:O35,"")&gt;=5,"",IF(COUNTIF(J35:O35,SMALL(J35:O35,1))&gt;=2,SMALL(J35:O35,1),SMALL(J35:O35,2)))</f>
        <v>8</v>
      </c>
      <c r="BA35" s="1401"/>
      <c r="BB35" s="1486" t="s">
        <v>17</v>
      </c>
      <c r="BC35" s="1485" t="str">
        <f>[10]clt!BO56</f>
        <v>MTT 7:  D3    F</v>
      </c>
      <c r="BD35" s="1484" t="s">
        <v>172</v>
      </c>
      <c r="BE35" s="1484" t="s">
        <v>433</v>
      </c>
      <c r="BF35" s="1483" t="s">
        <v>173</v>
      </c>
      <c r="BG35" s="1483" t="s">
        <v>174</v>
      </c>
      <c r="BH35" s="1483" t="s">
        <v>175</v>
      </c>
      <c r="BI35" s="1483" t="s">
        <v>176</v>
      </c>
      <c r="BJ35" s="1483" t="s">
        <v>177</v>
      </c>
      <c r="BK35" s="1487"/>
      <c r="BL35" s="1486" t="s">
        <v>17</v>
      </c>
      <c r="BM35" s="1485" t="str">
        <f>'[10]clt (2)'!BO2</f>
        <v>MTT 8:  D4     G</v>
      </c>
      <c r="BN35" s="1484" t="s">
        <v>172</v>
      </c>
      <c r="BO35" s="1484" t="s">
        <v>433</v>
      </c>
      <c r="BP35" s="1483" t="s">
        <v>173</v>
      </c>
      <c r="BQ35" s="1483" t="s">
        <v>174</v>
      </c>
      <c r="BR35" s="1483" t="s">
        <v>175</v>
      </c>
      <c r="BS35" s="1483" t="s">
        <v>176</v>
      </c>
      <c r="BT35" s="1483" t="s">
        <v>177</v>
      </c>
      <c r="BU35" s="1434"/>
      <c r="BV35" s="1401"/>
      <c r="BW35" s="1401"/>
      <c r="BX35" s="1401"/>
      <c r="BY35" s="561">
        <f ca="1">IF($BD$1&lt;=7,COUNTIF($C35:$I35,"1")+RAND()*0.0001,COUNTIF($J35:$P35,"1")+RAND()*0.0001)</f>
        <v>9.5434960962751249E-5</v>
      </c>
      <c r="BZ35" s="561" t="str">
        <f ca="1">IF(BY35&lt;1,"",AX35)</f>
        <v/>
      </c>
      <c r="CA35" s="561">
        <f ca="1">IF($BD$1&lt;=7,COUNTIF($C35:$I35,"2")+RAND()*0.0001,COUNTIF($J35:$P35,"2")+RAND()*0.0001)</f>
        <v>4.589340238223846E-5</v>
      </c>
      <c r="CB35" s="561" t="str">
        <f ca="1">IF(CA35&lt;1,"",AX35)</f>
        <v/>
      </c>
      <c r="CC35" s="561">
        <f ca="1">IF($BD$1&lt;=7,COUNTIF($C35:$I35,"3")+RAND()*0.0001,COUNTIF($J35:$P35,"3")+RAND()*0.0001)</f>
        <v>1.053957693108225E-5</v>
      </c>
      <c r="CD35" s="561" t="str">
        <f ca="1">IF(CC35&lt;1,"",AX35)</f>
        <v/>
      </c>
      <c r="CE35" s="561">
        <f ca="1">IF($BD$1&lt;=7,COUNTIF($C35:$I35,"4")+RAND()*0.0001,COUNTIF($J35:$P35,"4")+RAND()*0.0001)</f>
        <v>9.728905047559111E-5</v>
      </c>
      <c r="CF35" s="561" t="str">
        <f ca="1">IF(CE35&lt;1,"",AX35)</f>
        <v/>
      </c>
      <c r="CG35" s="561">
        <f ca="1">IF($BD$1&lt;=7,COUNTIF($C35:$I35,"5")+RAND()*0.0001,COUNTIF($J35:$P35,"5")+RAND()*0.0001)</f>
        <v>2.218059289489448E-5</v>
      </c>
      <c r="CH35" s="561" t="str">
        <f ca="1">IF(CG35&lt;1,"",AX35)</f>
        <v/>
      </c>
      <c r="CI35" s="561">
        <f ca="1">IF($BD$1&lt;=7,COUNTIF($C35:$I35,"6")+RAND()*0.0001,COUNTIF($J35:$P35,"6")+RAND()*0.0001)</f>
        <v>2.8012957617538494E-5</v>
      </c>
      <c r="CJ35" s="561" t="str">
        <f ca="1">IF(CI35&lt;1,"",AX35)</f>
        <v/>
      </c>
      <c r="CK35" s="561">
        <f ca="1">IF($BD$1&lt;=7,COUNTIF($C35:$I35,"7")+RAND()*0.0001,COUNTIF($J35:$P35,"7")+RAND()*0.0001)</f>
        <v>8.6548666682132865E-5</v>
      </c>
      <c r="CL35" s="561" t="str">
        <f ca="1">IF(CK35&lt;1,"",AX35)</f>
        <v/>
      </c>
      <c r="CM35" s="561">
        <f ca="1">IF($BD$1&lt;=7,COUNTIF($C35:$I35,"8")+RAND()*0.0001,COUNTIF($J35:$P35,"8")+RAND()*0.0001)</f>
        <v>6.0000794794663639</v>
      </c>
      <c r="CN35" s="561" t="str">
        <f ca="1">IF(CM35&lt;1,"",AX35)</f>
        <v>Sail Anthony</v>
      </c>
      <c r="CO35" s="1401"/>
      <c r="CP35" s="1401">
        <f ca="1">AE35+RAND()*0.01</f>
        <v>6.0098802381494858</v>
      </c>
      <c r="CQ35" s="1433">
        <f>VLOOKUP(C35,$CO$2:$DF$11,18,FALSE)</f>
        <v>0</v>
      </c>
      <c r="CR35" s="1433">
        <f>VLOOKUP(D35,$CO$2:$DF$11,18,FALSE)</f>
        <v>0</v>
      </c>
      <c r="CS35" s="1433">
        <f>VLOOKUP(E35,$CO$2:$DF$11,18,FALSE)</f>
        <v>0</v>
      </c>
      <c r="CT35" s="1433">
        <f>VLOOKUP(F35,$CO$2:$DF$11,18,FALSE)</f>
        <v>0</v>
      </c>
      <c r="CU35" s="1433">
        <f>VLOOKUP(G35,$CO$2:$DF$11,18,FALSE)</f>
        <v>0</v>
      </c>
      <c r="CV35" s="1433">
        <f>VLOOKUP(H35,$CO$2:$DF$11,18,FALSE)</f>
        <v>0</v>
      </c>
      <c r="CW35" s="1433">
        <f>VLOOKUP(I35,$CO$2:$DF$11,18,FALSE)</f>
        <v>0</v>
      </c>
      <c r="CX35" s="1433">
        <f>VLOOKUP(J35,$CO$2:$DF$11,18,FALSE)</f>
        <v>3</v>
      </c>
      <c r="CY35" s="1433">
        <f>VLOOKUP(K35,$CO$2:$DF$11,18,FALSE)</f>
        <v>3</v>
      </c>
      <c r="CZ35" s="1433">
        <f>VLOOKUP(L35,$CO$2:$DF$11,18,FALSE)</f>
        <v>3</v>
      </c>
      <c r="DA35" s="1433">
        <f>VLOOKUP(M35,$CO$2:$DF$11,18,FALSE)</f>
        <v>3</v>
      </c>
      <c r="DB35" s="1433">
        <f>VLOOKUP(N35,$CO$2:$DF$11,18,FALSE)</f>
        <v>0</v>
      </c>
      <c r="DC35" s="1433">
        <f>VLOOKUP(O35,$CO$2:$DF$11,18,FALSE)</f>
        <v>3</v>
      </c>
      <c r="DD35" s="1433">
        <f>VLOOKUP(P35,$CO$2:$DF$11,18,FALSE)</f>
        <v>3</v>
      </c>
      <c r="DE35" s="1432">
        <f ca="1">IF(AND(DI35=0,A35=""),AL35,IF(DI35=0,AL35+VLOOKUP(AX35,[10]Critérium!$AC$49:$DE$100,81,FALSE),AL35+VLOOKUP(AX35,[10]Critérium!$B$6:$T$22,19,FALSE)+VLOOKUP(AX35,[10]Critérium!$AC$49:$DE$100,81,FALSE)))</f>
        <v>3</v>
      </c>
      <c r="DF35" s="1431"/>
      <c r="DG35" s="1429">
        <f ca="1">IF(AND(DI35=0,A35=""),AM35,IF(DI35=0,AM35+VLOOKUP(AX35,[10]Critérium!$AC$49:$DH$100,84,FALSE),AM35+VLOOKUP(AX35,[10]Critérium!$B$6:$V$22,21,FALSE)+VLOOKUP(AX35,[10]Critérium!$AC$49:$DH$100,84,FALSE)))</f>
        <v>18</v>
      </c>
      <c r="DH35" s="1430">
        <f ca="1">IF(DG35=0,0,(DE35/DG35+RAND()*0.0001))</f>
        <v>0.16667713698475389</v>
      </c>
      <c r="DI35" s="1429">
        <f>VLOOKUP(AX35,[10]liste!AN:AR,5,FALSE)</f>
        <v>0</v>
      </c>
      <c r="DJ35" s="1427">
        <f ca="1">DG35+RAND()</f>
        <v>18.808195900002701</v>
      </c>
      <c r="DK35" s="1427" t="str">
        <f>A35</f>
        <v>Sail Anthony</v>
      </c>
      <c r="DL35" s="1427"/>
      <c r="DM35" s="1428">
        <f>HLOOKUP($DM$1,$C$1:$P$70,35,FALSE)</f>
        <v>8</v>
      </c>
      <c r="DN35" s="1428">
        <f>HLOOKUP($DN$1,$Q$1:$AD$70,35,FALSE)</f>
        <v>1</v>
      </c>
      <c r="DO35" s="1401"/>
      <c r="DP35" s="1463">
        <v>50</v>
      </c>
      <c r="DR35" s="1400">
        <f>IF(SUM(C35:P35)=0,0,(AE35*10/SUM(C35:P35)/2)*AE35/21)</f>
        <v>0.17857142857142858</v>
      </c>
      <c r="DS35" s="1427"/>
      <c r="DT35" s="1444"/>
      <c r="DU35" s="1444"/>
      <c r="DV35" s="1462" t="s">
        <v>767</v>
      </c>
      <c r="DW35" s="1462" t="s">
        <v>766</v>
      </c>
      <c r="DX35" s="1444"/>
      <c r="DY35" s="1444"/>
      <c r="DZ35" s="1444"/>
      <c r="EA35" s="1444"/>
      <c r="EB35" s="1427"/>
      <c r="EC35" s="1427"/>
      <c r="ED35" s="1427"/>
      <c r="EE35" s="1427"/>
      <c r="EF35" s="1427"/>
      <c r="EG35" s="1427"/>
      <c r="EH35" s="1427"/>
      <c r="EI35" s="1427"/>
      <c r="EJ35" s="1427"/>
      <c r="EK35" s="1427"/>
      <c r="EL35" s="1427"/>
      <c r="EM35" s="1427"/>
      <c r="EN35" s="1427"/>
      <c r="EO35" s="1427"/>
      <c r="EP35" s="1427"/>
      <c r="EQ35" s="1427"/>
      <c r="ER35" s="1427"/>
      <c r="ES35" s="1427"/>
      <c r="ET35" s="1427"/>
      <c r="EU35" s="1427"/>
      <c r="EV35" s="1427"/>
      <c r="EW35" s="1427"/>
      <c r="EX35" s="1427"/>
      <c r="EY35" s="1427"/>
      <c r="EZ35" s="1427"/>
      <c r="FA35" s="1427"/>
      <c r="FB35" s="1427"/>
      <c r="FC35" s="1427"/>
      <c r="FD35" s="1427"/>
      <c r="FE35" s="1427"/>
      <c r="FF35" s="1427"/>
      <c r="FG35" s="1427"/>
      <c r="FH35" s="1427"/>
      <c r="FI35" s="1427"/>
      <c r="FJ35" s="1427"/>
      <c r="FK35" s="1427"/>
      <c r="FL35" s="1427"/>
      <c r="FM35" s="1427"/>
      <c r="FN35" s="1427"/>
      <c r="FO35" s="1427"/>
      <c r="FP35" s="1427"/>
      <c r="FQ35" s="1427"/>
    </row>
    <row r="36" spans="1:173" s="1426" customFormat="1" ht="21.95" customHeight="1">
      <c r="A36" s="1477" t="str">
        <f>[10]points!B55</f>
        <v>Ravel Serge</v>
      </c>
      <c r="B36" s="1476">
        <v>8</v>
      </c>
      <c r="C36" s="1428"/>
      <c r="D36" s="1428"/>
      <c r="E36" s="1428"/>
      <c r="F36" s="1428"/>
      <c r="G36" s="1428"/>
      <c r="H36" s="1428"/>
      <c r="I36" s="1475"/>
      <c r="J36" s="1428">
        <v>8</v>
      </c>
      <c r="K36" s="1428">
        <v>8</v>
      </c>
      <c r="L36" s="1428">
        <v>8</v>
      </c>
      <c r="M36" s="1428">
        <v>8</v>
      </c>
      <c r="N36" s="1428"/>
      <c r="O36" s="1428">
        <v>8</v>
      </c>
      <c r="P36" s="1474">
        <v>8</v>
      </c>
      <c r="Q36" s="1472">
        <v>0</v>
      </c>
      <c r="R36" s="1471"/>
      <c r="S36" s="1471"/>
      <c r="T36" s="1471"/>
      <c r="U36" s="1471"/>
      <c r="V36" s="1471"/>
      <c r="W36" s="1473"/>
      <c r="X36" s="1472"/>
      <c r="Y36" s="1471">
        <v>0</v>
      </c>
      <c r="Z36" s="1471">
        <v>0</v>
      </c>
      <c r="AA36" s="1471">
        <v>1</v>
      </c>
      <c r="AB36" s="1471"/>
      <c r="AC36" s="1471">
        <v>3</v>
      </c>
      <c r="AD36" s="1471">
        <v>1</v>
      </c>
      <c r="AE36" s="1458">
        <f>IF(B36="","",COUNTIF(C36:P36,"&gt;0"))</f>
        <v>6</v>
      </c>
      <c r="AF36" s="1470">
        <f>SUM(Q36:W36)</f>
        <v>0</v>
      </c>
      <c r="AG36" s="1470">
        <f>SUM(CQ36:CW36)</f>
        <v>0</v>
      </c>
      <c r="AH36" s="1469" t="str">
        <f ca="1">IF(AG36=0,"X",IF(AG36&lt;LARGE(AG$2:AG$70,1)/3,"NS",RAND()*0.00001+AF36/AG36))</f>
        <v>X</v>
      </c>
      <c r="AI36" s="1470">
        <f>SUM(X36:AD36)</f>
        <v>5</v>
      </c>
      <c r="AJ36" s="1470">
        <f>SUM(CX36:DD36)</f>
        <v>18</v>
      </c>
      <c r="AK36" s="1469">
        <f ca="1">IF(AJ36=0,"X",IF(AJ36&lt;LARGE(AJ$2:AJ$70,1)/4,"NS",RAND()*0.00001+AI36/AJ36))</f>
        <v>0.27778691836040842</v>
      </c>
      <c r="AL36" s="1470">
        <f>SUM(Q36:AD36)</f>
        <v>5</v>
      </c>
      <c r="AM36" s="1470">
        <f>SUM(CQ36:DD36)</f>
        <v>18</v>
      </c>
      <c r="AN36" s="1469">
        <f ca="1">IF(AM36=0,"X",IF(AM36&lt;LARGE(AM$2:AM$70,1)/3,"NS",RAND()*0.00001+AL36/AM36))</f>
        <v>0.27778548753979188</v>
      </c>
      <c r="AO36" s="1437">
        <f ca="1">IF(B36="",10,B36+RAND()*0.01)</f>
        <v>8.0091475034564183</v>
      </c>
      <c r="AP36" s="1437">
        <f ca="1">IF(AND(C36="",J36=""),"e",IF(J36="",IF($BD$1&lt;=7,C36+RAND()*0.01,"e"),J36+RAND()*0.01))</f>
        <v>8.004284963043105</v>
      </c>
      <c r="AQ36" s="1437">
        <f ca="1">IF(AND(D36="",K36=""),"e",IF(K36="",IF($BD$1&lt;=7,D36+RAND()*0.01,"e"),K36+RAND()*0.01))</f>
        <v>8.0009020711866761</v>
      </c>
      <c r="AR36" s="1437">
        <f ca="1">IF(AND(E36="",L36=""),"e",IF(L36="",IF($BD$1&lt;=7,E36+RAND()*0.01,"e"),L36+RAND()*0.01))</f>
        <v>8.0023447321113803</v>
      </c>
      <c r="AS36" s="1437">
        <f ca="1">IF(AND(F36="",M36=""),"e",IF(M36="",IF($BD$1&lt;=7,F36+RAND()*0.01,"e"),M36+RAND()*0.01))</f>
        <v>8.0092624298312938</v>
      </c>
      <c r="AT36" s="1437" t="str">
        <f ca="1">IF(AND(G36="",N36=""),"e",IF(N36="",IF($BD$1&lt;=7,G36+RAND()*0.01,"e"),N36+RAND()*0.01))</f>
        <v>e</v>
      </c>
      <c r="AU36" s="1437">
        <f ca="1">IF(AND(H36="",O36=""),"e",IF(O36="",IF($BD$1&lt;=7,H36+RAND()*0.01,"e"),O36+RAND()*0.01))</f>
        <v>8.0034177032120759</v>
      </c>
      <c r="AV36" s="1437">
        <f ca="1">IF(AND(I36="",P36=""),"e",IF(P36="",IF($BD$1&lt;=7,I36+RAND()*0.01,"e"),P36+RAND()*0.01))</f>
        <v>8.0002320525934607</v>
      </c>
      <c r="AW36" s="1437"/>
      <c r="AX36" s="1436" t="str">
        <f>A36</f>
        <v>Ravel Serge</v>
      </c>
      <c r="AY36" s="1580" t="str">
        <f>IF(OR($H$2&gt;0,$H$3&gt;0,$H$4&gt;0,$H$5&gt;0,$H$6&gt;0,$H$7&gt;0,$H$8&gt;0,$H$2&gt;0),"",IF(COUNTIF(C36:H36,"")&gt;=5,"",IF(COUNTIF(C36:H36,SMALL(C36:H36,1))&gt;=2,SMALL(C36:H36,1),SMALL(C36:H36,2))))</f>
        <v/>
      </c>
      <c r="AZ36" s="1581">
        <f>IF(COUNTIF(J36:O36,"")&gt;=5,"",IF(COUNTIF(J36:O36,SMALL(J36:O36,1))&gt;=2,SMALL(J36:O36,1),SMALL(J36:O36,2)))</f>
        <v>8</v>
      </c>
      <c r="BA36" s="1401"/>
      <c r="BB36" s="1482">
        <v>1</v>
      </c>
      <c r="BC36" s="1478" t="str">
        <f ca="1">IF($BD$1&lt;=7,[10]clt!U57,[10]clt!BO57)</f>
        <v>AS ST PHILIBERT 2</v>
      </c>
      <c r="BD36" s="1481">
        <f ca="1">IF($BD$1&lt;=7,[10]clt!V57,[10]clt!BP57)</f>
        <v>21.000096326756061</v>
      </c>
      <c r="BE36" s="1480">
        <f ca="1">IF($BD$1&lt;=7,[10]clt!W57,[10]clt!BQ57)</f>
        <v>7</v>
      </c>
      <c r="BF36" s="1480">
        <f ca="1">IF($BD$1&lt;=7,[10]clt!X57,[10]clt!BR57)</f>
        <v>7</v>
      </c>
      <c r="BG36" s="1480">
        <f ca="1">IF($BD$1&lt;=7,[10]clt!Z57,[10]clt!BS57)</f>
        <v>0</v>
      </c>
      <c r="BH36" s="1480">
        <f ca="1">IF($BD$1&lt;=7,[10]clt!Y57,[10]clt!BT57)</f>
        <v>0</v>
      </c>
      <c r="BI36" s="1480">
        <f ca="1">IF($BD$1&lt;=7,[10]clt!AA57,[10]clt!BU57)</f>
        <v>74</v>
      </c>
      <c r="BJ36" s="1480">
        <f ca="1">IF($BD$1&lt;=7,[10]clt!AB57,[10]clt!BV57)</f>
        <v>24</v>
      </c>
      <c r="BK36" s="1461"/>
      <c r="BL36" s="1482">
        <v>1</v>
      </c>
      <c r="BM36" s="1478" t="str">
        <f ca="1">IF($BD$1&lt;=7,'[10]clt (2)'!U3,'[10]clt (2)'!AW3)</f>
        <v>TT PAYS LOCMINE 4</v>
      </c>
      <c r="BN36" s="1481">
        <f ca="1">IF($BD$1&lt;=7,'[10]clt (2)'!V3,'[10]clt (2)'!AX3)</f>
        <v>16.000073469798888</v>
      </c>
      <c r="BO36" s="1480">
        <f ca="1">IF($BD$1&lt;=7,'[10]clt (2)'!W3,'[10]clt (2)'!AY3)</f>
        <v>6</v>
      </c>
      <c r="BP36" s="1480">
        <f ca="1">IF($BD$1&lt;=7,'[10]clt (2)'!X3,'[10]clt (2)'!AZ3)</f>
        <v>5</v>
      </c>
      <c r="BQ36" s="1480">
        <f ca="1">IF($BD$1&lt;=7,'[10]clt (2)'!Y3,'[10]clt (2)'!BA3)</f>
        <v>0</v>
      </c>
      <c r="BR36" s="1480">
        <f ca="1">IF($BD$1&lt;=7,'[10]clt (2)'!Z3,'[10]clt (2)'!BB3)</f>
        <v>1</v>
      </c>
      <c r="BS36" s="1480">
        <f ca="1">IF($BD$1&lt;=7,'[10]clt (2)'!AA3,'[10]clt (2)'!BC3)</f>
        <v>62</v>
      </c>
      <c r="BT36" s="1480">
        <f ca="1">IF($BD$1&lt;=7,'[10]clt (2)'!AB3,'[10]clt (2)'!BD3)</f>
        <v>22</v>
      </c>
      <c r="BU36" s="1434"/>
      <c r="BV36" s="1401"/>
      <c r="BW36" s="1401"/>
      <c r="BX36" s="1401"/>
      <c r="BY36" s="561">
        <f ca="1">IF($BD$1&lt;=7,COUNTIF($C36:$I36,"1")+RAND()*0.0001,COUNTIF($J36:$P36,"1")+RAND()*0.0001)</f>
        <v>9.161571526139297E-5</v>
      </c>
      <c r="BZ36" s="561" t="str">
        <f ca="1">IF(BY36&lt;1,"",AX36)</f>
        <v/>
      </c>
      <c r="CA36" s="561">
        <f ca="1">IF($BD$1&lt;=7,COUNTIF($C36:$I36,"2")+RAND()*0.0001,COUNTIF($J36:$P36,"2")+RAND()*0.0001)</f>
        <v>6.9090792341880587E-5</v>
      </c>
      <c r="CB36" s="561" t="str">
        <f ca="1">IF(CA36&lt;1,"",AX36)</f>
        <v/>
      </c>
      <c r="CC36" s="561">
        <f ca="1">IF($BD$1&lt;=7,COUNTIF($C36:$I36,"3")+RAND()*0.0001,COUNTIF($J36:$P36,"3")+RAND()*0.0001)</f>
        <v>8.3445019843227862E-5</v>
      </c>
      <c r="CD36" s="561" t="str">
        <f ca="1">IF(CC36&lt;1,"",AX36)</f>
        <v/>
      </c>
      <c r="CE36" s="561">
        <f ca="1">IF($BD$1&lt;=7,COUNTIF($C36:$I36,"4")+RAND()*0.0001,COUNTIF($J36:$P36,"4")+RAND()*0.0001)</f>
        <v>2.7187305165302211E-6</v>
      </c>
      <c r="CF36" s="561" t="str">
        <f ca="1">IF(CE36&lt;1,"",AX36)</f>
        <v/>
      </c>
      <c r="CG36" s="561">
        <f ca="1">IF($BD$1&lt;=7,COUNTIF($C36:$I36,"5")+RAND()*0.0001,COUNTIF($J36:$P36,"5")+RAND()*0.0001)</f>
        <v>7.6487449429058247E-5</v>
      </c>
      <c r="CH36" s="561" t="str">
        <f ca="1">IF(CG36&lt;1,"",AX36)</f>
        <v/>
      </c>
      <c r="CI36" s="561">
        <f ca="1">IF($BD$1&lt;=7,COUNTIF($C36:$I36,"6")+RAND()*0.0001,COUNTIF($J36:$P36,"6")+RAND()*0.0001)</f>
        <v>6.529139597622724E-5</v>
      </c>
      <c r="CJ36" s="561" t="str">
        <f ca="1">IF(CI36&lt;1,"",AX36)</f>
        <v/>
      </c>
      <c r="CK36" s="561">
        <f ca="1">IF($BD$1&lt;=7,COUNTIF($C36:$I36,"7")+RAND()*0.0001,COUNTIF($J36:$P36,"7")+RAND()*0.0001)</f>
        <v>3.2997379748586522E-5</v>
      </c>
      <c r="CL36" s="561" t="str">
        <f ca="1">IF(CK36&lt;1,"",AX36)</f>
        <v/>
      </c>
      <c r="CM36" s="561">
        <f ca="1">IF($BD$1&lt;=7,COUNTIF($C36:$I36,"8")+RAND()*0.0001,COUNTIF($J36:$P36,"8")+RAND()*0.0001)</f>
        <v>6.0000699138971889</v>
      </c>
      <c r="CN36" s="561" t="str">
        <f ca="1">IF(CM36&lt;1,"",AX36)</f>
        <v>Ravel Serge</v>
      </c>
      <c r="CO36" s="1401"/>
      <c r="CP36" s="1401">
        <f ca="1">AE36+RAND()*0.01</f>
        <v>6.0036478534538755</v>
      </c>
      <c r="CQ36" s="1433">
        <f>VLOOKUP(C36,$CO$2:$DF$11,18,FALSE)</f>
        <v>0</v>
      </c>
      <c r="CR36" s="1433">
        <f>VLOOKUP(D36,$CO$2:$DF$11,18,FALSE)</f>
        <v>0</v>
      </c>
      <c r="CS36" s="1433">
        <f>VLOOKUP(E36,$CO$2:$DF$11,18,FALSE)</f>
        <v>0</v>
      </c>
      <c r="CT36" s="1433">
        <f>VLOOKUP(F36,$CO$2:$DF$11,18,FALSE)</f>
        <v>0</v>
      </c>
      <c r="CU36" s="1433">
        <f>VLOOKUP(G36,$CO$2:$DF$11,18,FALSE)</f>
        <v>0</v>
      </c>
      <c r="CV36" s="1433">
        <f>VLOOKUP(H36,$CO$2:$DF$11,18,FALSE)</f>
        <v>0</v>
      </c>
      <c r="CW36" s="1433">
        <f>VLOOKUP(I36,$CO$2:$DF$11,18,FALSE)</f>
        <v>0</v>
      </c>
      <c r="CX36" s="1433">
        <f>VLOOKUP(J36,$CO$2:$DF$11,18,FALSE)</f>
        <v>3</v>
      </c>
      <c r="CY36" s="1433">
        <f>VLOOKUP(K36,$CO$2:$DF$11,18,FALSE)</f>
        <v>3</v>
      </c>
      <c r="CZ36" s="1433">
        <f>VLOOKUP(L36,$CO$2:$DF$11,18,FALSE)</f>
        <v>3</v>
      </c>
      <c r="DA36" s="1433">
        <f>VLOOKUP(M36,$CO$2:$DF$11,18,FALSE)</f>
        <v>3</v>
      </c>
      <c r="DB36" s="1433">
        <f>VLOOKUP(N36,$CO$2:$DF$11,18,FALSE)</f>
        <v>0</v>
      </c>
      <c r="DC36" s="1433">
        <f>VLOOKUP(O36,$CO$2:$DF$11,18,FALSE)</f>
        <v>3</v>
      </c>
      <c r="DD36" s="1433">
        <f>VLOOKUP(P36,$CO$2:$DF$11,18,FALSE)</f>
        <v>3</v>
      </c>
      <c r="DE36" s="1432">
        <f ca="1">IF(AND(DI36=0,A36=""),AL36,IF(DI36=0,AL36+VLOOKUP(AX36,[10]Critérium!$AC$49:$DE$100,81,FALSE),AL36+VLOOKUP(AX36,[10]Critérium!$B$6:$T$22,19,FALSE)+VLOOKUP(AX36,[10]Critérium!$AC$49:$DE$100,81,FALSE)))</f>
        <v>5</v>
      </c>
      <c r="DF36" s="1431"/>
      <c r="DG36" s="1429">
        <f ca="1">IF(AND(DI36=0,A36=""),AM36,IF(DI36=0,AM36+VLOOKUP(AX36,[10]Critérium!$AC$49:$DH$100,84,FALSE),AM36+VLOOKUP(AX36,[10]Critérium!$B$6:$V$22,21,FALSE)+VLOOKUP(AX36,[10]Critérium!$AC$49:$DH$100,84,FALSE)))</f>
        <v>18</v>
      </c>
      <c r="DH36" s="1430">
        <f ca="1">IF(DG36=0,0,(DE36/DG36+RAND()*0.0001))</f>
        <v>0.27782829782203028</v>
      </c>
      <c r="DI36" s="1429">
        <f>VLOOKUP(AX36,[10]liste!AN:AR,5,FALSE)</f>
        <v>0</v>
      </c>
      <c r="DJ36" s="1427">
        <f ca="1">DG36+RAND()</f>
        <v>18.804881522860807</v>
      </c>
      <c r="DK36" s="1427" t="str">
        <f>A36</f>
        <v>Ravel Serge</v>
      </c>
      <c r="DL36" s="1427"/>
      <c r="DM36" s="1428">
        <f>HLOOKUP($DM$1,$C$1:$P$70,36,FALSE)</f>
        <v>8</v>
      </c>
      <c r="DN36" s="1428">
        <f>HLOOKUP($DN$1,$Q$1:$AD$70,36,FALSE)</f>
        <v>1</v>
      </c>
      <c r="DO36" s="1401"/>
      <c r="DP36" s="1464">
        <v>55</v>
      </c>
      <c r="DR36" s="1400">
        <f>IF(SUM(C36:P36)=0,0,(AE36*10/SUM(C36:P36)/2)*AE36/21)</f>
        <v>0.17857142857142858</v>
      </c>
      <c r="DS36" s="1427"/>
      <c r="DT36" s="1444"/>
      <c r="DU36" s="1444"/>
      <c r="DV36" s="1462" t="s">
        <v>765</v>
      </c>
      <c r="DW36" s="1462" t="s">
        <v>764</v>
      </c>
      <c r="DX36" s="1444"/>
      <c r="DY36" s="1444"/>
      <c r="DZ36" s="1444"/>
      <c r="EA36" s="1444"/>
      <c r="EB36" s="1427"/>
      <c r="EC36" s="1427"/>
      <c r="ED36" s="1427"/>
      <c r="EE36" s="1427"/>
      <c r="EF36" s="1427"/>
      <c r="EG36" s="1427"/>
      <c r="EH36" s="1427"/>
      <c r="EI36" s="1427"/>
      <c r="EJ36" s="1427"/>
      <c r="EK36" s="1427"/>
      <c r="EL36" s="1427"/>
      <c r="EM36" s="1427"/>
      <c r="EN36" s="1427"/>
      <c r="EO36" s="1427"/>
      <c r="EP36" s="1427"/>
      <c r="EQ36" s="1427"/>
      <c r="ER36" s="1427"/>
      <c r="ES36" s="1427"/>
      <c r="ET36" s="1427"/>
      <c r="EU36" s="1427"/>
      <c r="EV36" s="1427"/>
      <c r="EW36" s="1427"/>
      <c r="EX36" s="1427"/>
      <c r="EY36" s="1427"/>
      <c r="EZ36" s="1427"/>
      <c r="FA36" s="1427"/>
      <c r="FB36" s="1427"/>
      <c r="FC36" s="1427"/>
      <c r="FD36" s="1427"/>
      <c r="FE36" s="1427"/>
      <c r="FF36" s="1427"/>
      <c r="FG36" s="1427"/>
      <c r="FH36" s="1427"/>
      <c r="FI36" s="1427"/>
      <c r="FJ36" s="1427"/>
      <c r="FK36" s="1427"/>
      <c r="FL36" s="1427"/>
      <c r="FM36" s="1427"/>
      <c r="FN36" s="1427"/>
      <c r="FO36" s="1427"/>
      <c r="FP36" s="1427"/>
      <c r="FQ36" s="1427"/>
    </row>
    <row r="37" spans="1:173" s="1426" customFormat="1" ht="21.95" customHeight="1">
      <c r="A37" s="1477" t="str">
        <f>[10]points!B47</f>
        <v>Guillotin Marie-Paule</v>
      </c>
      <c r="B37" s="1476">
        <v>8</v>
      </c>
      <c r="C37" s="1428">
        <v>6</v>
      </c>
      <c r="D37" s="1428">
        <v>6</v>
      </c>
      <c r="E37" s="1428">
        <v>6</v>
      </c>
      <c r="F37" s="1428"/>
      <c r="G37" s="1428"/>
      <c r="H37" s="1428"/>
      <c r="I37" s="1475">
        <v>6</v>
      </c>
      <c r="J37" s="1428">
        <v>8</v>
      </c>
      <c r="K37" s="1428"/>
      <c r="L37" s="1428">
        <v>8</v>
      </c>
      <c r="M37" s="1428">
        <v>8</v>
      </c>
      <c r="N37" s="1428"/>
      <c r="O37" s="1428">
        <v>8</v>
      </c>
      <c r="P37" s="1474">
        <v>8</v>
      </c>
      <c r="Q37" s="1472">
        <v>0</v>
      </c>
      <c r="R37" s="1471">
        <v>2</v>
      </c>
      <c r="S37" s="1471">
        <v>1</v>
      </c>
      <c r="T37" s="1471"/>
      <c r="U37" s="1471"/>
      <c r="V37" s="1471"/>
      <c r="W37" s="1473">
        <v>2</v>
      </c>
      <c r="X37" s="1472">
        <v>1</v>
      </c>
      <c r="Y37" s="1471"/>
      <c r="Z37" s="1471">
        <v>1</v>
      </c>
      <c r="AA37" s="1471">
        <v>1</v>
      </c>
      <c r="AB37" s="1471"/>
      <c r="AC37" s="1471">
        <v>1</v>
      </c>
      <c r="AD37" s="1471">
        <v>0</v>
      </c>
      <c r="AE37" s="1458">
        <f>IF(B37="","",COUNTIF(C37:P37,"&gt;0"))</f>
        <v>9</v>
      </c>
      <c r="AF37" s="1470">
        <f>SUM(Q37:W37)</f>
        <v>5</v>
      </c>
      <c r="AG37" s="1470">
        <f>SUM(CQ37:CW37)</f>
        <v>12</v>
      </c>
      <c r="AH37" s="1469">
        <f ca="1">IF(AG37=0,"X",IF(AG37&lt;LARGE(AG$2:AG$70,1)/3,"NS",RAND()*0.00001+AF37/AG37))</f>
        <v>0.41667568816025746</v>
      </c>
      <c r="AI37" s="1470">
        <f>SUM(X37:AD37)</f>
        <v>4</v>
      </c>
      <c r="AJ37" s="1470">
        <f>SUM(CX37:DD37)</f>
        <v>15</v>
      </c>
      <c r="AK37" s="1469">
        <f ca="1">IF(AJ37=0,"X",IF(AJ37&lt;LARGE(AJ$2:AJ$70,1)/4,"NS",RAND()*0.00001+AI37/AJ37))</f>
        <v>0.26667048628657125</v>
      </c>
      <c r="AL37" s="1470">
        <f>SUM(Q37:AD37)</f>
        <v>9</v>
      </c>
      <c r="AM37" s="1470">
        <f>SUM(CQ37:DD37)</f>
        <v>27</v>
      </c>
      <c r="AN37" s="1469">
        <f ca="1">IF(AM37=0,"X",IF(AM37&lt;LARGE(AM$2:AM$70,1)/3,"NS",RAND()*0.00001+AL37/AM37))</f>
        <v>0.33333779961184495</v>
      </c>
      <c r="AO37" s="1437">
        <f ca="1">IF(B37="",10,B37+RAND()*0.01)</f>
        <v>8.0035076498088138</v>
      </c>
      <c r="AP37" s="1437">
        <f ca="1">IF(AND(C37="",J37=""),"e",IF(J37="",IF($BD$1&lt;=7,C37+RAND()*0.01,"e"),J37+RAND()*0.01))</f>
        <v>8.0042864840346013</v>
      </c>
      <c r="AQ37" s="1437" t="str">
        <f ca="1">IF(AND(D37="",K37=""),"e",IF(K37="",IF($BD$1&lt;=7,D37+RAND()*0.01,"e"),K37+RAND()*0.01))</f>
        <v>e</v>
      </c>
      <c r="AR37" s="1437">
        <f ca="1">IF(AND(E37="",L37=""),"e",IF(L37="",IF($BD$1&lt;=7,E37+RAND()*0.01,"e"),L37+RAND()*0.01))</f>
        <v>8.0064922994694392</v>
      </c>
      <c r="AS37" s="1437">
        <f ca="1">IF(AND(F37="",M37=""),"e",IF(M37="",IF($BD$1&lt;=7,F37+RAND()*0.01,"e"),M37+RAND()*0.01))</f>
        <v>8.0071565930806354</v>
      </c>
      <c r="AT37" s="1437" t="str">
        <f ca="1">IF(AND(G37="",N37=""),"e",IF(N37="",IF($BD$1&lt;=7,G37+RAND()*0.01,"e"),N37+RAND()*0.01))</f>
        <v>e</v>
      </c>
      <c r="AU37" s="1437">
        <f ca="1">IF(AND(H37="",O37=""),"e",IF(O37="",IF($BD$1&lt;=7,H37+RAND()*0.01,"e"),O37+RAND()*0.01))</f>
        <v>8.0006207298090732</v>
      </c>
      <c r="AV37" s="1437">
        <f ca="1">IF(AND(I37="",P37=""),"e",IF(P37="",IF($BD$1&lt;=7,I37+RAND()*0.01,"e"),P37+RAND()*0.01))</f>
        <v>8.0034462565441036</v>
      </c>
      <c r="AW37" s="1437"/>
      <c r="AX37" s="1436" t="str">
        <f>A37</f>
        <v>Guillotin Marie-Paule</v>
      </c>
      <c r="AY37" s="1580" t="str">
        <f>IF(OR($H$2&gt;0,$H$3&gt;0,$H$4&gt;0,$H$5&gt;0,$H$6&gt;0,$H$7&gt;0,$H$8&gt;0,$H$2&gt;0),"",IF(COUNTIF(C37:H37,"")&gt;=5,"",IF(COUNTIF(C37:H37,SMALL(C37:H37,1))&gt;=2,SMALL(C37:H37,1),SMALL(C37:H37,2))))</f>
        <v/>
      </c>
      <c r="AZ37" s="1581">
        <f>IF(COUNTIF(J37:O37,"")&gt;=5,"",IF(COUNTIF(J37:O37,SMALL(J37:O37,1))&gt;=2,SMALL(J37:O37,1),SMALL(J37:O37,2)))</f>
        <v>8</v>
      </c>
      <c r="BA37" s="1401"/>
      <c r="BB37" s="1482">
        <f ca="1">IF(ROUND(BD37,0)=ROUND(BD36,0),"-",2)</f>
        <v>2</v>
      </c>
      <c r="BC37" s="1478" t="str">
        <f ca="1">IF($BD$1&lt;=7,[10]clt!U58,[10]clt!BO58)</f>
        <v>GOLFETT PLOEREN 2</v>
      </c>
      <c r="BD37" s="1481">
        <f ca="1">IF($BD$1&lt;=7,[10]clt!V58,[10]clt!BP58)</f>
        <v>17.000094423364974</v>
      </c>
      <c r="BE37" s="1480">
        <f ca="1">IF($BD$1&lt;=7,[10]clt!W58,[10]clt!BQ58)</f>
        <v>7</v>
      </c>
      <c r="BF37" s="1480">
        <f ca="1">IF($BD$1&lt;=7,[10]clt!X58,[10]clt!BR58)</f>
        <v>5</v>
      </c>
      <c r="BG37" s="1480">
        <f ca="1">IF($BD$1&lt;=7,[10]clt!Z58,[10]clt!BS58)</f>
        <v>0</v>
      </c>
      <c r="BH37" s="1480">
        <f ca="1">IF($BD$1&lt;=7,[10]clt!Y58,[10]clt!BT58)</f>
        <v>2</v>
      </c>
      <c r="BI37" s="1480">
        <f ca="1">IF($BD$1&lt;=7,[10]clt!AA58,[10]clt!BU58)</f>
        <v>62</v>
      </c>
      <c r="BJ37" s="1480">
        <f ca="1">IF($BD$1&lt;=7,[10]clt!AB58,[10]clt!BV58)</f>
        <v>36</v>
      </c>
      <c r="BK37" s="1461"/>
      <c r="BL37" s="1482" t="str">
        <f ca="1">IF(ROUND(BN37,0)=ROUND(BN36,0),"-",2)</f>
        <v>-</v>
      </c>
      <c r="BM37" s="1478" t="str">
        <f ca="1">IF($BD$1&lt;=7,'[10]clt (2)'!U4,'[10]clt (2)'!AW4)</f>
        <v>PLUNERET/MERIAD 4</v>
      </c>
      <c r="BN37" s="1481">
        <f ca="1">IF($BD$1&lt;=7,'[10]clt (2)'!V4,'[10]clt (2)'!AX4)</f>
        <v>16.000012515850084</v>
      </c>
      <c r="BO37" s="1480">
        <f ca="1">IF($BD$1&lt;=7,'[10]clt (2)'!W4,'[10]clt (2)'!AY4)</f>
        <v>6</v>
      </c>
      <c r="BP37" s="1480">
        <f ca="1">IF($BD$1&lt;=7,'[10]clt (2)'!X4,'[10]clt (2)'!AZ4)</f>
        <v>5</v>
      </c>
      <c r="BQ37" s="1480">
        <f ca="1">IF($BD$1&lt;=7,'[10]clt (2)'!Y4,'[10]clt (2)'!BA4)</f>
        <v>0</v>
      </c>
      <c r="BR37" s="1480">
        <f ca="1">IF($BD$1&lt;=7,'[10]clt (2)'!Z4,'[10]clt (2)'!BB4)</f>
        <v>1</v>
      </c>
      <c r="BS37" s="1480">
        <f ca="1">IF($BD$1&lt;=7,'[10]clt (2)'!AA4,'[10]clt (2)'!BC4)</f>
        <v>62</v>
      </c>
      <c r="BT37" s="1480">
        <f ca="1">IF($BD$1&lt;=7,'[10]clt (2)'!AB4,'[10]clt (2)'!BD4)</f>
        <v>22</v>
      </c>
      <c r="BU37" s="1434"/>
      <c r="BV37" s="1401"/>
      <c r="BW37" s="1401"/>
      <c r="BX37" s="1401"/>
      <c r="BY37" s="561">
        <f ca="1">IF($BD$1&lt;=7,COUNTIF($C37:$I37,"1")+RAND()*0.0001,COUNTIF($J37:$P37,"1")+RAND()*0.0001)</f>
        <v>9.7332307816171623E-5</v>
      </c>
      <c r="BZ37" s="561" t="str">
        <f ca="1">IF(BY37&lt;1,"",AX37)</f>
        <v/>
      </c>
      <c r="CA37" s="561">
        <f ca="1">IF($BD$1&lt;=7,COUNTIF($C37:$I37,"2")+RAND()*0.0001,COUNTIF($J37:$P37,"2")+RAND()*0.0001)</f>
        <v>2.3617960989605903E-5</v>
      </c>
      <c r="CB37" s="561" t="str">
        <f ca="1">IF(CA37&lt;1,"",AX37)</f>
        <v/>
      </c>
      <c r="CC37" s="561">
        <f ca="1">IF($BD$1&lt;=7,COUNTIF($C37:$I37,"3")+RAND()*0.0001,COUNTIF($J37:$P37,"3")+RAND()*0.0001)</f>
        <v>9.8392574451995848E-5</v>
      </c>
      <c r="CD37" s="561" t="str">
        <f ca="1">IF(CC37&lt;1,"",AX37)</f>
        <v/>
      </c>
      <c r="CE37" s="561">
        <f ca="1">IF($BD$1&lt;=7,COUNTIF($C37:$I37,"4")+RAND()*0.0001,COUNTIF($J37:$P37,"4")+RAND()*0.0001)</f>
        <v>2.9082589439235286E-5</v>
      </c>
      <c r="CF37" s="561" t="str">
        <f ca="1">IF(CE37&lt;1,"",AX37)</f>
        <v/>
      </c>
      <c r="CG37" s="561">
        <f ca="1">IF($BD$1&lt;=7,COUNTIF($C37:$I37,"5")+RAND()*0.0001,COUNTIF($J37:$P37,"5")+RAND()*0.0001)</f>
        <v>4.8919220396380993E-5</v>
      </c>
      <c r="CH37" s="561" t="str">
        <f ca="1">IF(CG37&lt;1,"",AX37)</f>
        <v/>
      </c>
      <c r="CI37" s="561">
        <f ca="1">IF($BD$1&lt;=7,COUNTIF($C37:$I37,"6")+RAND()*0.0001,COUNTIF($J37:$P37,"6")+RAND()*0.0001)</f>
        <v>6.6179134233640782E-5</v>
      </c>
      <c r="CJ37" s="561" t="str">
        <f ca="1">IF(CI37&lt;1,"",AX37)</f>
        <v/>
      </c>
      <c r="CK37" s="561">
        <f ca="1">IF($BD$1&lt;=7,COUNTIF($C37:$I37,"7")+RAND()*0.0001,COUNTIF($J37:$P37,"7")+RAND()*0.0001)</f>
        <v>1.468168583140972E-6</v>
      </c>
      <c r="CL37" s="561" t="str">
        <f ca="1">IF(CK37&lt;1,"",AX37)</f>
        <v/>
      </c>
      <c r="CM37" s="561">
        <f ca="1">IF($BD$1&lt;=7,COUNTIF($C37:$I37,"8")+RAND()*0.0001,COUNTIF($J37:$P37,"8")+RAND()*0.0001)</f>
        <v>5.0000646749249276</v>
      </c>
      <c r="CN37" s="561" t="str">
        <f ca="1">IF(CM37&lt;1,"",AX37)</f>
        <v>Guillotin Marie-Paule</v>
      </c>
      <c r="CO37" s="1401"/>
      <c r="CP37" s="1401">
        <f ca="1">AE37+RAND()*0.01</f>
        <v>9.0009461039304561</v>
      </c>
      <c r="CQ37" s="1433">
        <f>VLOOKUP(C37,$CO$2:$DF$11,18,FALSE)</f>
        <v>3</v>
      </c>
      <c r="CR37" s="1433">
        <f>VLOOKUP(D37,$CO$2:$DF$11,18,FALSE)</f>
        <v>3</v>
      </c>
      <c r="CS37" s="1433">
        <f>VLOOKUP(E37,$CO$2:$DF$11,18,FALSE)</f>
        <v>3</v>
      </c>
      <c r="CT37" s="1433">
        <f>VLOOKUP(F37,$CO$2:$DF$11,18,FALSE)</f>
        <v>0</v>
      </c>
      <c r="CU37" s="1433">
        <f>VLOOKUP(G37,$CO$2:$DF$11,18,FALSE)</f>
        <v>0</v>
      </c>
      <c r="CV37" s="1433">
        <f>VLOOKUP(H37,$CO$2:$DF$11,18,FALSE)</f>
        <v>0</v>
      </c>
      <c r="CW37" s="1433">
        <f>VLOOKUP(I37,$CO$2:$DF$11,18,FALSE)</f>
        <v>3</v>
      </c>
      <c r="CX37" s="1433">
        <f>VLOOKUP(J37,$CO$2:$DF$11,18,FALSE)</f>
        <v>3</v>
      </c>
      <c r="CY37" s="1433">
        <f>VLOOKUP(K37,$CO$2:$DF$11,18,FALSE)</f>
        <v>0</v>
      </c>
      <c r="CZ37" s="1433">
        <f>VLOOKUP(L37,$CO$2:$DF$11,18,FALSE)</f>
        <v>3</v>
      </c>
      <c r="DA37" s="1433">
        <f>VLOOKUP(M37,$CO$2:$DF$11,18,FALSE)</f>
        <v>3</v>
      </c>
      <c r="DB37" s="1433">
        <f>VLOOKUP(N37,$CO$2:$DF$11,18,FALSE)</f>
        <v>0</v>
      </c>
      <c r="DC37" s="1433">
        <f>VLOOKUP(O37,$CO$2:$DF$11,18,FALSE)</f>
        <v>3</v>
      </c>
      <c r="DD37" s="1433">
        <f>VLOOKUP(P37,$CO$2:$DF$11,18,FALSE)</f>
        <v>3</v>
      </c>
      <c r="DE37" s="1432">
        <f ca="1">IF(AND(DI37=0,A37=""),AL37,IF(DI37=0,AL37+VLOOKUP(AX37,[10]Critérium!$AC$49:$DE$100,81,FALSE),AL37+VLOOKUP(AX37,[10]Critérium!$B$6:$T$22,19,FALSE)+VLOOKUP(AX37,[10]Critérium!$AC$49:$DE$100,81,FALSE)))</f>
        <v>10</v>
      </c>
      <c r="DF37" s="1431"/>
      <c r="DG37" s="1429">
        <f ca="1">IF(AND(DI37=0,A37=""),AM37,IF(DI37=0,AM37+VLOOKUP(AX37,[10]Critérium!$AC$49:$DH$100,84,FALSE),AM37+VLOOKUP(AX37,[10]Critérium!$B$6:$V$22,21,FALSE)+VLOOKUP(AX37,[10]Critérium!$AC$49:$DH$100,84,FALSE)))</f>
        <v>31</v>
      </c>
      <c r="DH37" s="1430">
        <f ca="1">IF(DG37=0,0,(DE37/DG37+RAND()*0.0001))</f>
        <v>0.32262537134862151</v>
      </c>
      <c r="DI37" s="1429">
        <f>VLOOKUP(AX37,[10]liste!AN:AR,5,FALSE)</f>
        <v>0</v>
      </c>
      <c r="DJ37" s="1427">
        <f ca="1">DG37+RAND()</f>
        <v>31.275030851662962</v>
      </c>
      <c r="DK37" s="1427" t="str">
        <f>A37</f>
        <v>Guillotin Marie-Paule</v>
      </c>
      <c r="DL37" s="1427"/>
      <c r="DM37" s="1428">
        <f>HLOOKUP($DM$1,$C$1:$P$70,37,FALSE)</f>
        <v>8</v>
      </c>
      <c r="DN37" s="1428">
        <f>HLOOKUP($DN$1,$Q$1:$AD$70,37,FALSE)</f>
        <v>0</v>
      </c>
      <c r="DO37" s="1401"/>
      <c r="DP37" s="1463">
        <v>60</v>
      </c>
      <c r="DR37" s="1400">
        <f>IF(SUM(C37:P37)=0,0,(AE37*10/SUM(C37:P37)/2)*AE37/21)</f>
        <v>0.3013392857142857</v>
      </c>
      <c r="DS37" s="1427"/>
      <c r="DT37" s="1444"/>
      <c r="DU37" s="1444"/>
      <c r="DV37" s="1462" t="s">
        <v>763</v>
      </c>
      <c r="DW37" s="1462" t="s">
        <v>762</v>
      </c>
      <c r="DX37" s="1444"/>
      <c r="DY37" s="1444"/>
      <c r="DZ37" s="1444"/>
      <c r="EA37" s="1444"/>
      <c r="EB37" s="1427"/>
      <c r="EC37" s="1427"/>
      <c r="ED37" s="1427"/>
      <c r="EE37" s="1427"/>
      <c r="EF37" s="1427"/>
      <c r="EG37" s="1427"/>
      <c r="EH37" s="1427"/>
      <c r="EI37" s="1427"/>
      <c r="EJ37" s="1427"/>
      <c r="EK37" s="1427"/>
      <c r="EL37" s="1427"/>
      <c r="EM37" s="1427"/>
      <c r="EN37" s="1427"/>
      <c r="EO37" s="1427"/>
      <c r="EP37" s="1427"/>
      <c r="EQ37" s="1427"/>
      <c r="ER37" s="1427"/>
      <c r="ES37" s="1427"/>
      <c r="ET37" s="1427"/>
      <c r="EU37" s="1427"/>
      <c r="EV37" s="1427"/>
      <c r="EW37" s="1427"/>
      <c r="EX37" s="1427"/>
      <c r="EY37" s="1427"/>
      <c r="EZ37" s="1427"/>
      <c r="FA37" s="1427"/>
      <c r="FB37" s="1427"/>
      <c r="FC37" s="1427"/>
      <c r="FD37" s="1427"/>
      <c r="FE37" s="1427"/>
      <c r="FF37" s="1427"/>
      <c r="FG37" s="1427"/>
      <c r="FH37" s="1427"/>
      <c r="FI37" s="1427"/>
      <c r="FJ37" s="1427"/>
      <c r="FK37" s="1427"/>
      <c r="FL37" s="1427"/>
      <c r="FM37" s="1427"/>
      <c r="FN37" s="1427"/>
      <c r="FO37" s="1427"/>
      <c r="FP37" s="1427"/>
      <c r="FQ37" s="1427"/>
    </row>
    <row r="38" spans="1:173" s="1426" customFormat="1" ht="21.95" customHeight="1">
      <c r="A38" s="1477" t="str">
        <f>[10]points!B42</f>
        <v>Guehennec Benoit</v>
      </c>
      <c r="B38" s="1476">
        <v>8</v>
      </c>
      <c r="C38" s="1428">
        <v>6</v>
      </c>
      <c r="D38" s="1428">
        <v>6</v>
      </c>
      <c r="E38" s="1428">
        <v>6</v>
      </c>
      <c r="F38" s="1428">
        <v>6</v>
      </c>
      <c r="G38" s="1428"/>
      <c r="H38" s="1428">
        <v>6</v>
      </c>
      <c r="I38" s="1475">
        <v>6</v>
      </c>
      <c r="J38" s="1428">
        <v>8</v>
      </c>
      <c r="K38" s="1428">
        <v>8</v>
      </c>
      <c r="L38" s="1428">
        <v>8</v>
      </c>
      <c r="M38" s="1428">
        <v>8</v>
      </c>
      <c r="N38" s="1428"/>
      <c r="O38" s="1428"/>
      <c r="P38" s="1474">
        <v>8</v>
      </c>
      <c r="Q38" s="1472">
        <v>2</v>
      </c>
      <c r="R38" s="1471">
        <v>3</v>
      </c>
      <c r="S38" s="1471">
        <v>3</v>
      </c>
      <c r="T38" s="1471">
        <v>3</v>
      </c>
      <c r="U38" s="1471"/>
      <c r="V38" s="1471">
        <v>3</v>
      </c>
      <c r="W38" s="1473">
        <v>1</v>
      </c>
      <c r="X38" s="1472">
        <v>2</v>
      </c>
      <c r="Y38" s="1471">
        <v>0</v>
      </c>
      <c r="Z38" s="1471">
        <v>2</v>
      </c>
      <c r="AA38" s="1471">
        <v>3</v>
      </c>
      <c r="AB38" s="1471"/>
      <c r="AC38" s="1471"/>
      <c r="AD38" s="1471">
        <v>2</v>
      </c>
      <c r="AE38" s="1458">
        <f>IF(B38="","",COUNTIF(C38:P38,"&gt;0"))</f>
        <v>11</v>
      </c>
      <c r="AF38" s="1470">
        <f>SUM(Q38:W38)</f>
        <v>15</v>
      </c>
      <c r="AG38" s="1470">
        <f>SUM(CQ38:CW38)</f>
        <v>18</v>
      </c>
      <c r="AH38" s="1469">
        <f ca="1">IF(AG38=0,"X",IF(AG38&lt;LARGE(AG$2:AG$70,1)/3,"NS",RAND()*0.00001+AF38/AG38))</f>
        <v>0.83334328954836745</v>
      </c>
      <c r="AI38" s="1470">
        <f>SUM(X38:AD38)</f>
        <v>9</v>
      </c>
      <c r="AJ38" s="1470">
        <f>SUM(CX38:DD38)</f>
        <v>15</v>
      </c>
      <c r="AK38" s="1469">
        <f ca="1">IF(AJ38=0,"X",IF(AJ38&lt;LARGE(AJ$2:AJ$70,1)/4,"NS",RAND()*0.00001+AI38/AJ38))</f>
        <v>0.60000483347347333</v>
      </c>
      <c r="AL38" s="1470">
        <f>SUM(Q38:AD38)</f>
        <v>24</v>
      </c>
      <c r="AM38" s="1470">
        <f>SUM(CQ38:DD38)</f>
        <v>33</v>
      </c>
      <c r="AN38" s="1469">
        <f ca="1">IF(AM38=0,"X",IF(AM38&lt;LARGE(AM$2:AM$70,1)/3,"NS",RAND()*0.00001+AL38/AM38))</f>
        <v>0.72727915283660116</v>
      </c>
      <c r="AO38" s="1437">
        <f ca="1">IF(B38="",10,B38+RAND()*0.01)</f>
        <v>8.0093940501486056</v>
      </c>
      <c r="AP38" s="1437">
        <f ca="1">IF(AND(C38="",J38=""),"e",IF(J38="",IF($BD$1&lt;=7,C38+RAND()*0.01,"e"),J38+RAND()*0.01))</f>
        <v>8.0011215932764514</v>
      </c>
      <c r="AQ38" s="1437">
        <f ca="1">IF(AND(D38="",K38=""),"e",IF(K38="",IF($BD$1&lt;=7,D38+RAND()*0.01,"e"),K38+RAND()*0.01))</f>
        <v>8.003175697496749</v>
      </c>
      <c r="AR38" s="1437">
        <f ca="1">IF(AND(E38="",L38=""),"e",IF(L38="",IF($BD$1&lt;=7,E38+RAND()*0.01,"e"),L38+RAND()*0.01))</f>
        <v>8.0024796554875532</v>
      </c>
      <c r="AS38" s="1437">
        <f ca="1">IF(AND(F38="",M38=""),"e",IF(M38="",IF($BD$1&lt;=7,F38+RAND()*0.01,"e"),M38+RAND()*0.01))</f>
        <v>8.0096129453136928</v>
      </c>
      <c r="AT38" s="1437" t="str">
        <f ca="1">IF(AND(G38="",N38=""),"e",IF(N38="",IF($BD$1&lt;=7,G38+RAND()*0.01,"e"),N38+RAND()*0.01))</f>
        <v>e</v>
      </c>
      <c r="AU38" s="1437" t="str">
        <f ca="1">IF(AND(H38="",O38=""),"e",IF(O38="",IF($BD$1&lt;=7,H38+RAND()*0.01,"e"),O38+RAND()*0.01))</f>
        <v>e</v>
      </c>
      <c r="AV38" s="1437">
        <f ca="1">IF(AND(I38="",P38=""),"e",IF(P38="",IF($BD$1&lt;=7,I38+RAND()*0.01,"e"),P38+RAND()*0.01))</f>
        <v>8.0043970472991806</v>
      </c>
      <c r="AW38" s="1437"/>
      <c r="AX38" s="1436" t="str">
        <f>A38</f>
        <v>Guehennec Benoit</v>
      </c>
      <c r="AY38" s="1580" t="str">
        <f>IF(OR($H$2&gt;0,$H$3&gt;0,$H$4&gt;0,$H$5&gt;0,$H$6&gt;0,$H$7&gt;0,$H$8&gt;0,$H$2&gt;0),"",IF(COUNTIF(C38:H38,"")&gt;=5,"",IF(COUNTIF(C38:H38,SMALL(C38:H38,1))&gt;=2,SMALL(C38:H38,1),SMALL(C38:H38,2))))</f>
        <v/>
      </c>
      <c r="AZ38" s="1581">
        <f>IF(COUNTIF(J38:O38,"")&gt;=5,"",IF(COUNTIF(J38:O38,SMALL(J38:O38,1))&gt;=2,SMALL(J38:O38,1),SMALL(J38:O38,2)))</f>
        <v>8</v>
      </c>
      <c r="BA38" s="1401"/>
      <c r="BB38" s="1482">
        <f ca="1">IF(ROUND(BD38,0)=ROUND(BD37,0),"-",3)</f>
        <v>3</v>
      </c>
      <c r="BC38" s="1478" t="str">
        <f ca="1">IF($BD$1&lt;=7,[10]clt!U59,[10]clt!BO59)</f>
        <v>TT QUIBERON 1</v>
      </c>
      <c r="BD38" s="1481">
        <f ca="1">IF($BD$1&lt;=7,[10]clt!V59,[10]clt!BP59)</f>
        <v>14.000077153885668</v>
      </c>
      <c r="BE38" s="1480">
        <f ca="1">IF($BD$1&lt;=7,[10]clt!W59,[10]clt!BQ59)</f>
        <v>7</v>
      </c>
      <c r="BF38" s="1480">
        <f ca="1">IF($BD$1&lt;=7,[10]clt!X59,[10]clt!BR59)</f>
        <v>3</v>
      </c>
      <c r="BG38" s="1480">
        <f ca="1">IF($BD$1&lt;=7,[10]clt!Z59,[10]clt!BS59)</f>
        <v>1</v>
      </c>
      <c r="BH38" s="1480">
        <f ca="1">IF($BD$1&lt;=7,[10]clt!Y59,[10]clt!BT59)</f>
        <v>3</v>
      </c>
      <c r="BI38" s="1480">
        <f ca="1">IF($BD$1&lt;=7,[10]clt!AA59,[10]clt!BU59)</f>
        <v>51</v>
      </c>
      <c r="BJ38" s="1480">
        <f ca="1">IF($BD$1&lt;=7,[10]clt!AB59,[10]clt!BV59)</f>
        <v>47</v>
      </c>
      <c r="BK38" s="1461"/>
      <c r="BL38" s="1482">
        <f ca="1">IF(ROUND(BN38,0)=ROUND(BN37,0),"-",3)</f>
        <v>3</v>
      </c>
      <c r="BM38" s="1478" t="str">
        <f ca="1">IF($BD$1&lt;=7,'[10]clt (2)'!U5,'[10]clt (2)'!AW5)</f>
        <v>ES PLESCOP TT 7</v>
      </c>
      <c r="BN38" s="1481">
        <f ca="1">IF($BD$1&lt;=7,'[10]clt (2)'!V5,'[10]clt (2)'!AX5)</f>
        <v>13.0000019872301</v>
      </c>
      <c r="BO38" s="1480">
        <f ca="1">IF($BD$1&lt;=7,'[10]clt (2)'!W5,'[10]clt (2)'!AY5)</f>
        <v>6</v>
      </c>
      <c r="BP38" s="1480">
        <f ca="1">IF($BD$1&lt;=7,'[10]clt (2)'!X5,'[10]clt (2)'!AZ5)</f>
        <v>3</v>
      </c>
      <c r="BQ38" s="1480">
        <f ca="1">IF($BD$1&lt;=7,'[10]clt (2)'!Y5,'[10]clt (2)'!BA5)</f>
        <v>1</v>
      </c>
      <c r="BR38" s="1480">
        <f ca="1">IF($BD$1&lt;=7,'[10]clt (2)'!Z5,'[10]clt (2)'!BB5)</f>
        <v>2</v>
      </c>
      <c r="BS38" s="1480">
        <f ca="1">IF($BD$1&lt;=7,'[10]clt (2)'!AA5,'[10]clt (2)'!BC5)</f>
        <v>46</v>
      </c>
      <c r="BT38" s="1480">
        <f ca="1">IF($BD$1&lt;=7,'[10]clt (2)'!AB5,'[10]clt (2)'!BD5)</f>
        <v>38</v>
      </c>
      <c r="BU38" s="1434"/>
      <c r="BV38" s="1401"/>
      <c r="BW38" s="1401"/>
      <c r="BX38" s="1401"/>
      <c r="BY38" s="561">
        <f ca="1">IF($BD$1&lt;=7,COUNTIF($C38:$I38,"1")+RAND()*0.0001,COUNTIF($J38:$P38,"1")+RAND()*0.0001)</f>
        <v>1.3474325364876693E-5</v>
      </c>
      <c r="BZ38" s="561" t="str">
        <f ca="1">IF(BY38&lt;1,"",AX38)</f>
        <v/>
      </c>
      <c r="CA38" s="561">
        <f ca="1">IF($BD$1&lt;=7,COUNTIF($C38:$I38,"2")+RAND()*0.0001,COUNTIF($J38:$P38,"2")+RAND()*0.0001)</f>
        <v>9.8833421158183171E-6</v>
      </c>
      <c r="CB38" s="561" t="str">
        <f ca="1">IF(CA38&lt;1,"",AX38)</f>
        <v/>
      </c>
      <c r="CC38" s="561">
        <f ca="1">IF($BD$1&lt;=7,COUNTIF($C38:$I38,"3")+RAND()*0.0001,COUNTIF($J38:$P38,"3")+RAND()*0.0001)</f>
        <v>3.2709961633311583E-5</v>
      </c>
      <c r="CD38" s="561" t="str">
        <f ca="1">IF(CC38&lt;1,"",AX38)</f>
        <v/>
      </c>
      <c r="CE38" s="561">
        <f ca="1">IF($BD$1&lt;=7,COUNTIF($C38:$I38,"4")+RAND()*0.0001,COUNTIF($J38:$P38,"4")+RAND()*0.0001)</f>
        <v>7.6684694223685916E-5</v>
      </c>
      <c r="CF38" s="561" t="str">
        <f ca="1">IF(CE38&lt;1,"",AX38)</f>
        <v/>
      </c>
      <c r="CG38" s="561">
        <f ca="1">IF($BD$1&lt;=7,COUNTIF($C38:$I38,"5")+RAND()*0.0001,COUNTIF($J38:$P38,"5")+RAND()*0.0001)</f>
        <v>7.8644141705547918E-5</v>
      </c>
      <c r="CH38" s="561" t="str">
        <f ca="1">IF(CG38&lt;1,"",AX38)</f>
        <v/>
      </c>
      <c r="CI38" s="561">
        <f ca="1">IF($BD$1&lt;=7,COUNTIF($C38:$I38,"6")+RAND()*0.0001,COUNTIF($J38:$P38,"6")+RAND()*0.0001)</f>
        <v>2.0942944778202245E-6</v>
      </c>
      <c r="CJ38" s="561" t="str">
        <f ca="1">IF(CI38&lt;1,"",AX38)</f>
        <v/>
      </c>
      <c r="CK38" s="561">
        <f ca="1">IF($BD$1&lt;=7,COUNTIF($C38:$I38,"7")+RAND()*0.0001,COUNTIF($J38:$P38,"7")+RAND()*0.0001)</f>
        <v>4.3423543851810477E-5</v>
      </c>
      <c r="CL38" s="561" t="str">
        <f ca="1">IF(CK38&lt;1,"",AX38)</f>
        <v/>
      </c>
      <c r="CM38" s="561">
        <f ca="1">IF($BD$1&lt;=7,COUNTIF($C38:$I38,"8")+RAND()*0.0001,COUNTIF($J38:$P38,"8")+RAND()*0.0001)</f>
        <v>5.0000434559075631</v>
      </c>
      <c r="CN38" s="561" t="str">
        <f ca="1">IF(CM38&lt;1,"",AX38)</f>
        <v>Guehennec Benoit</v>
      </c>
      <c r="CO38" s="1401"/>
      <c r="CP38" s="1401">
        <f ca="1">AE38+RAND()*0.01</f>
        <v>11.000277537673783</v>
      </c>
      <c r="CQ38" s="1433">
        <f>VLOOKUP(C38,$CO$2:$DF$11,18,FALSE)</f>
        <v>3</v>
      </c>
      <c r="CR38" s="1433">
        <f>VLOOKUP(D38,$CO$2:$DF$11,18,FALSE)</f>
        <v>3</v>
      </c>
      <c r="CS38" s="1433">
        <f>VLOOKUP(E38,$CO$2:$DF$11,18,FALSE)</f>
        <v>3</v>
      </c>
      <c r="CT38" s="1433">
        <f>VLOOKUP(F38,$CO$2:$DF$11,18,FALSE)</f>
        <v>3</v>
      </c>
      <c r="CU38" s="1433">
        <f>VLOOKUP(G38,$CO$2:$DF$11,18,FALSE)</f>
        <v>0</v>
      </c>
      <c r="CV38" s="1433">
        <f>VLOOKUP(H38,$CO$2:$DF$11,18,FALSE)</f>
        <v>3</v>
      </c>
      <c r="CW38" s="1433">
        <f>VLOOKUP(I38,$CO$2:$DF$11,18,FALSE)</f>
        <v>3</v>
      </c>
      <c r="CX38" s="1433">
        <f>VLOOKUP(J38,$CO$2:$DF$11,18,FALSE)</f>
        <v>3</v>
      </c>
      <c r="CY38" s="1433">
        <f>VLOOKUP(K38,$CO$2:$DF$11,18,FALSE)</f>
        <v>3</v>
      </c>
      <c r="CZ38" s="1433">
        <f>VLOOKUP(L38,$CO$2:$DF$11,18,FALSE)</f>
        <v>3</v>
      </c>
      <c r="DA38" s="1433">
        <f>VLOOKUP(M38,$CO$2:$DF$11,18,FALSE)</f>
        <v>3</v>
      </c>
      <c r="DB38" s="1433">
        <f>VLOOKUP(N38,$CO$2:$DF$11,18,FALSE)</f>
        <v>0</v>
      </c>
      <c r="DC38" s="1433">
        <f>VLOOKUP(O38,$CO$2:$DF$11,18,FALSE)</f>
        <v>0</v>
      </c>
      <c r="DD38" s="1433">
        <f>VLOOKUP(P38,$CO$2:$DF$11,18,FALSE)</f>
        <v>3</v>
      </c>
      <c r="DE38" s="1432">
        <f ca="1">IF(AND(DI38=0,A38=""),AL38,IF(DI38=0,AL38+VLOOKUP(AX38,[10]Critérium!$AC$49:$DE$100,81,FALSE),AL38+VLOOKUP(AX38,[10]Critérium!$B$6:$T$22,19,FALSE)+VLOOKUP(AX38,[10]Critérium!$AC$49:$DE$100,81,FALSE)))</f>
        <v>24</v>
      </c>
      <c r="DF38" s="1431"/>
      <c r="DG38" s="1429">
        <f ca="1">IF(AND(DI38=0,A38=""),AM38,IF(DI38=0,AM38+VLOOKUP(AX38,[10]Critérium!$AC$49:$DH$100,84,FALSE),AM38+VLOOKUP(AX38,[10]Critérium!$B$6:$V$22,21,FALSE)+VLOOKUP(AX38,[10]Critérium!$AC$49:$DH$100,84,FALSE)))</f>
        <v>33</v>
      </c>
      <c r="DH38" s="1430">
        <f ca="1">IF(DG38=0,0,(DE38/DG38+RAND()*0.0001))</f>
        <v>0.72732677221136199</v>
      </c>
      <c r="DI38" s="1429">
        <f>VLOOKUP(AX38,[10]liste!AN:AR,5,FALSE)</f>
        <v>0</v>
      </c>
      <c r="DJ38" s="1427">
        <f ca="1">DG38+RAND()</f>
        <v>33.291313168436325</v>
      </c>
      <c r="DK38" s="1427" t="str">
        <f>A38</f>
        <v>Guehennec Benoit</v>
      </c>
      <c r="DL38" s="1427"/>
      <c r="DM38" s="1428">
        <f>HLOOKUP($DM$1,$C$1:$P$70,38,FALSE)</f>
        <v>8</v>
      </c>
      <c r="DN38" s="1428">
        <f>HLOOKUP($DN$1,$Q$1:$AD$70,38,FALSE)</f>
        <v>2</v>
      </c>
      <c r="DO38" s="1401"/>
      <c r="DP38" s="1463">
        <v>65</v>
      </c>
      <c r="DR38" s="1400">
        <f>IF(SUM(C38:P38)=0,0,(AE38*10/SUM(C38:P38)/2)*AE38/21)</f>
        <v>0.37907268170426067</v>
      </c>
      <c r="DS38" s="1427"/>
      <c r="DT38" s="1444"/>
      <c r="DU38" s="1444"/>
      <c r="DV38" s="1462" t="s">
        <v>761</v>
      </c>
      <c r="DW38" s="1462" t="s">
        <v>760</v>
      </c>
      <c r="DX38" s="1444"/>
      <c r="DY38" s="1444"/>
      <c r="DZ38" s="1444"/>
      <c r="EA38" s="1444"/>
      <c r="EB38" s="1427"/>
      <c r="EC38" s="1427"/>
      <c r="ED38" s="1427"/>
      <c r="EE38" s="1427"/>
      <c r="EF38" s="1427"/>
      <c r="EG38" s="1427"/>
      <c r="EH38" s="1427"/>
      <c r="EI38" s="1427"/>
      <c r="EJ38" s="1427"/>
      <c r="EK38" s="1427"/>
      <c r="EL38" s="1427"/>
      <c r="EM38" s="1427"/>
      <c r="EN38" s="1427"/>
      <c r="EO38" s="1427"/>
      <c r="EP38" s="1427"/>
      <c r="EQ38" s="1427"/>
      <c r="ER38" s="1427"/>
      <c r="ES38" s="1427"/>
      <c r="ET38" s="1427"/>
      <c r="EU38" s="1427"/>
      <c r="EV38" s="1427"/>
      <c r="EW38" s="1427"/>
      <c r="EX38" s="1427"/>
      <c r="EY38" s="1427"/>
      <c r="EZ38" s="1427"/>
      <c r="FA38" s="1427"/>
      <c r="FB38" s="1427"/>
      <c r="FC38" s="1427"/>
      <c r="FD38" s="1427"/>
      <c r="FE38" s="1427"/>
      <c r="FF38" s="1427"/>
      <c r="FG38" s="1427"/>
      <c r="FH38" s="1427"/>
      <c r="FI38" s="1427"/>
      <c r="FJ38" s="1427"/>
      <c r="FK38" s="1427"/>
      <c r="FL38" s="1427"/>
      <c r="FM38" s="1427"/>
      <c r="FN38" s="1427"/>
      <c r="FO38" s="1427"/>
      <c r="FP38" s="1427"/>
      <c r="FQ38" s="1427"/>
    </row>
    <row r="39" spans="1:173" s="1426" customFormat="1" ht="21.95" customHeight="1">
      <c r="A39" s="1477" t="str">
        <f>[10]points!B23</f>
        <v>Faulkner Thierry</v>
      </c>
      <c r="B39" s="1476">
        <v>9</v>
      </c>
      <c r="C39" s="1428"/>
      <c r="D39" s="1428"/>
      <c r="E39" s="1428"/>
      <c r="F39" s="1428"/>
      <c r="G39" s="1428"/>
      <c r="H39" s="1428"/>
      <c r="I39" s="1475"/>
      <c r="J39" s="1428">
        <v>2</v>
      </c>
      <c r="K39" s="1428"/>
      <c r="L39" s="1428"/>
      <c r="M39" s="1428">
        <v>2</v>
      </c>
      <c r="N39" s="1428"/>
      <c r="O39" s="1428">
        <v>2</v>
      </c>
      <c r="P39" s="1474">
        <v>2</v>
      </c>
      <c r="Q39" s="1472"/>
      <c r="R39" s="1471"/>
      <c r="S39" s="1471"/>
      <c r="T39" s="1471"/>
      <c r="U39" s="1471"/>
      <c r="V39" s="1471"/>
      <c r="W39" s="1473"/>
      <c r="X39" s="1472">
        <v>3</v>
      </c>
      <c r="Y39" s="1471"/>
      <c r="Z39" s="1471"/>
      <c r="AA39" s="1471">
        <v>3</v>
      </c>
      <c r="AB39" s="1471"/>
      <c r="AC39" s="1471">
        <v>2</v>
      </c>
      <c r="AD39" s="1471">
        <v>3</v>
      </c>
      <c r="AE39" s="1458">
        <f>IF(B39="","",COUNTIF(C39:P39,"&gt;0"))</f>
        <v>4</v>
      </c>
      <c r="AF39" s="1470">
        <f>SUM(Q39:W39)</f>
        <v>0</v>
      </c>
      <c r="AG39" s="1470">
        <f>SUM(CQ39:CW39)</f>
        <v>0</v>
      </c>
      <c r="AH39" s="1469" t="str">
        <f ca="1">IF(AG39=0,"X",IF(AG39&lt;LARGE(AG$2:AG$70,1)/3,"NS",RAND()*0.00001+AF39/AG39))</f>
        <v>X</v>
      </c>
      <c r="AI39" s="1470">
        <f>SUM(X39:AD39)</f>
        <v>11</v>
      </c>
      <c r="AJ39" s="1470">
        <f>SUM(CX39:DD39)</f>
        <v>12</v>
      </c>
      <c r="AK39" s="1469">
        <f ca="1">IF(AJ39=0,"X",IF(AJ39&lt;LARGE(AJ$2:AJ$70,1)/4,"NS",RAND()*0.00001+AI39/AJ39))</f>
        <v>0.91666826994213635</v>
      </c>
      <c r="AL39" s="1470">
        <f>SUM(Q39:AD39)</f>
        <v>11</v>
      </c>
      <c r="AM39" s="1470">
        <f>SUM(CQ39:DD39)</f>
        <v>12</v>
      </c>
      <c r="AN39" s="1469" t="str">
        <f ca="1">IF(AM39=0,"X",IF(AM39&lt;LARGE(AM$2:AM$70,1)/3,"NS",RAND()*0.00001+AL39/AM39))</f>
        <v>NS</v>
      </c>
      <c r="AO39" s="1437">
        <f ca="1">IF(B39="",10,B39+RAND()*0.01)</f>
        <v>9.0086334065291336</v>
      </c>
      <c r="AP39" s="1437">
        <f ca="1">IF(AND(C39="",J39=""),"e",IF(J39="",IF($BD$1&lt;=7,C39+RAND()*0.01,"e"),J39+RAND()*0.01))</f>
        <v>2.0068753660938023</v>
      </c>
      <c r="AQ39" s="1437" t="str">
        <f ca="1">IF(AND(D39="",K39=""),"e",IF(K39="",IF($BD$1&lt;=7,D39+RAND()*0.01,"e"),K39+RAND()*0.01))</f>
        <v>e</v>
      </c>
      <c r="AR39" s="1437" t="str">
        <f ca="1">IF(AND(E39="",L39=""),"e",IF(L39="",IF($BD$1&lt;=7,E39+RAND()*0.01,"e"),L39+RAND()*0.01))</f>
        <v>e</v>
      </c>
      <c r="AS39" s="1437">
        <f ca="1">IF(AND(F39="",M39=""),"e",IF(M39="",IF($BD$1&lt;=7,F39+RAND()*0.01,"e"),M39+RAND()*0.01))</f>
        <v>2.0041358311580262</v>
      </c>
      <c r="AT39" s="1437" t="str">
        <f ca="1">IF(AND(G39="",N39=""),"e",IF(N39="",IF($BD$1&lt;=7,G39+RAND()*0.01,"e"),N39+RAND()*0.01))</f>
        <v>e</v>
      </c>
      <c r="AU39" s="1437">
        <f ca="1">IF(AND(H39="",O39=""),"e",IF(O39="",IF($BD$1&lt;=7,H39+RAND()*0.01,"e"),O39+RAND()*0.01))</f>
        <v>2.0076111460429487</v>
      </c>
      <c r="AV39" s="1437">
        <f ca="1">IF(AND(I39="",P39=""),"e",IF(P39="",IF($BD$1&lt;=7,I39+RAND()*0.01,"e"),P39+RAND()*0.01))</f>
        <v>2.0038263677789252</v>
      </c>
      <c r="AW39" s="1437"/>
      <c r="AX39" s="1436" t="str">
        <f>A39</f>
        <v>Faulkner Thierry</v>
      </c>
      <c r="AY39" s="1580" t="str">
        <f>IF(OR($H$2&gt;0,$H$3&gt;0,$H$4&gt;0,$H$5&gt;0,$H$6&gt;0,$H$7&gt;0,$H$8&gt;0,$H$2&gt;0),"",IF(COUNTIF(C39:H39,"")&gt;=5,"",IF(COUNTIF(C39:H39,SMALL(C39:H39,1))&gt;=2,SMALL(C39:H39,1),SMALL(C39:H39,2))))</f>
        <v/>
      </c>
      <c r="AZ39" s="1581">
        <f>IF(COUNTIF(J39:O39,"")&gt;=5,"",IF(COUNTIF(J39:O39,SMALL(J39:O39,1))&gt;=2,SMALL(J39:O39,1),SMALL(J39:O39,2)))</f>
        <v>2</v>
      </c>
      <c r="BA39" s="1401"/>
      <c r="BB39" s="1482">
        <f ca="1">IF(ROUND(BD39,0)=ROUND(BD38,0),"-",4)</f>
        <v>4</v>
      </c>
      <c r="BC39" s="1478" t="str">
        <f ca="1">IF($BD$1&lt;=7,[10]clt!U60,[10]clt!BO60)</f>
        <v>BAUD TT 3</v>
      </c>
      <c r="BD39" s="1481">
        <f ca="1">IF($BD$1&lt;=7,[10]clt!V60,[10]clt!BP60)</f>
        <v>13.00009016263078</v>
      </c>
      <c r="BE39" s="1480">
        <f ca="1">IF($BD$1&lt;=7,[10]clt!W60,[10]clt!BQ60)</f>
        <v>7</v>
      </c>
      <c r="BF39" s="1480">
        <f ca="1">IF($BD$1&lt;=7,[10]clt!X60,[10]clt!BR60)</f>
        <v>3</v>
      </c>
      <c r="BG39" s="1480">
        <f ca="1">IF($BD$1&lt;=7,[10]clt!Z60,[10]clt!BS60)</f>
        <v>0</v>
      </c>
      <c r="BH39" s="1480">
        <f ca="1">IF($BD$1&lt;=7,[10]clt!Y60,[10]clt!BT60)</f>
        <v>4</v>
      </c>
      <c r="BI39" s="1480">
        <f ca="1">IF($BD$1&lt;=7,[10]clt!AA60,[10]clt!BU60)</f>
        <v>43</v>
      </c>
      <c r="BJ39" s="1480">
        <f ca="1">IF($BD$1&lt;=7,[10]clt!AB60,[10]clt!BV60)</f>
        <v>55</v>
      </c>
      <c r="BK39" s="1461"/>
      <c r="BL39" s="1482">
        <f ca="1">IF(ROUND(BN39,0)=ROUND(BN38,0),"-",4)</f>
        <v>4</v>
      </c>
      <c r="BM39" s="1478" t="str">
        <f ca="1">IF($BD$1&lt;=7,'[10]clt (2)'!U6,'[10]clt (2)'!AW6)</f>
        <v>GOLFETT PLOEREN 4</v>
      </c>
      <c r="BN39" s="1481">
        <f ca="1">IF($BD$1&lt;=7,'[10]clt (2)'!V6,'[10]clt (2)'!AX6)</f>
        <v>12.000098908508861</v>
      </c>
      <c r="BO39" s="1480">
        <f ca="1">IF($BD$1&lt;=7,'[10]clt (2)'!W6,'[10]clt (2)'!AY6)</f>
        <v>6</v>
      </c>
      <c r="BP39" s="1480">
        <f ca="1">IF($BD$1&lt;=7,'[10]clt (2)'!X6,'[10]clt (2)'!AZ6)</f>
        <v>3</v>
      </c>
      <c r="BQ39" s="1480">
        <f ca="1">IF($BD$1&lt;=7,'[10]clt (2)'!Y6,'[10]clt (2)'!BA6)</f>
        <v>0</v>
      </c>
      <c r="BR39" s="1480">
        <f ca="1">IF($BD$1&lt;=7,'[10]clt (2)'!Z6,'[10]clt (2)'!BB6)</f>
        <v>3</v>
      </c>
      <c r="BS39" s="1480">
        <f ca="1">IF($BD$1&lt;=7,'[10]clt (2)'!AA6,'[10]clt (2)'!BC6)</f>
        <v>36</v>
      </c>
      <c r="BT39" s="1480">
        <f ca="1">IF($BD$1&lt;=7,'[10]clt (2)'!AB6,'[10]clt (2)'!BD6)</f>
        <v>48</v>
      </c>
      <c r="BU39" s="1459"/>
      <c r="BV39" s="1401"/>
      <c r="BW39" s="1401"/>
      <c r="BX39" s="1401"/>
      <c r="BY39" s="561">
        <f ca="1">IF($BD$1&lt;=7,COUNTIF($C39:$I39,"1")+RAND()*0.0001,COUNTIF($J39:$P39,"1")+RAND()*0.0001)</f>
        <v>7.6226963089752423E-5</v>
      </c>
      <c r="BZ39" s="561" t="str">
        <f ca="1">IF(BY39&lt;1,"",AX39)</f>
        <v/>
      </c>
      <c r="CA39" s="561">
        <f ca="1">IF($BD$1&lt;=7,COUNTIF($C39:$I39,"2")+RAND()*0.0001,COUNTIF($J39:$P39,"2")+RAND()*0.0001)</f>
        <v>4.0000690660153149</v>
      </c>
      <c r="CB39" s="561" t="str">
        <f ca="1">IF(CA39&lt;1,"",AX39)</f>
        <v>Faulkner Thierry</v>
      </c>
      <c r="CC39" s="561">
        <f ca="1">IF($BD$1&lt;=7,COUNTIF($C39:$I39,"3")+RAND()*0.0001,COUNTIF($J39:$P39,"3")+RAND()*0.0001)</f>
        <v>8.4531919184821832E-6</v>
      </c>
      <c r="CD39" s="561" t="str">
        <f ca="1">IF(CC39&lt;1,"",AX39)</f>
        <v/>
      </c>
      <c r="CE39" s="561">
        <f ca="1">IF($BD$1&lt;=7,COUNTIF($C39:$I39,"4")+RAND()*0.0001,COUNTIF($J39:$P39,"4")+RAND()*0.0001)</f>
        <v>4.5624519588631054E-5</v>
      </c>
      <c r="CF39" s="561" t="str">
        <f ca="1">IF(CE39&lt;1,"",AX39)</f>
        <v/>
      </c>
      <c r="CG39" s="561">
        <f ca="1">IF($BD$1&lt;=7,COUNTIF($C39:$I39,"5")+RAND()*0.0001,COUNTIF($J39:$P39,"5")+RAND()*0.0001)</f>
        <v>3.9146828609973951E-5</v>
      </c>
      <c r="CH39" s="561" t="str">
        <f ca="1">IF(CG39&lt;1,"",AX39)</f>
        <v/>
      </c>
      <c r="CI39" s="561">
        <f ca="1">IF($BD$1&lt;=7,COUNTIF($C39:$I39,"6")+RAND()*0.0001,COUNTIF($J39:$P39,"6")+RAND()*0.0001)</f>
        <v>7.7169512440683317E-5</v>
      </c>
      <c r="CJ39" s="561" t="str">
        <f ca="1">IF(CI39&lt;1,"",AX39)</f>
        <v/>
      </c>
      <c r="CK39" s="561">
        <f ca="1">IF($BD$1&lt;=7,COUNTIF($C39:$I39,"7")+RAND()*0.0001,COUNTIF($J39:$P39,"7")+RAND()*0.0001)</f>
        <v>6.0906153078063799E-6</v>
      </c>
      <c r="CL39" s="561" t="str">
        <f ca="1">IF(CK39&lt;1,"",AX39)</f>
        <v/>
      </c>
      <c r="CM39" s="561">
        <f ca="1">IF($BD$1&lt;=7,COUNTIF($C39:$I39,"8")+RAND()*0.0001,COUNTIF($J39:$P39,"8")+RAND()*0.0001)</f>
        <v>2.5647199295129343E-5</v>
      </c>
      <c r="CN39" s="561" t="str">
        <f ca="1">IF(CM39&lt;1,"",AX39)</f>
        <v/>
      </c>
      <c r="CO39" s="1401"/>
      <c r="CP39" s="1401">
        <f ca="1">AE39+RAND()*0.01</f>
        <v>4.0010706824041105</v>
      </c>
      <c r="CQ39" s="1433">
        <f>VLOOKUP(C39,$CO$2:$DF$11,18,FALSE)</f>
        <v>0</v>
      </c>
      <c r="CR39" s="1433">
        <f>VLOOKUP(D39,$CO$2:$DF$11,18,FALSE)</f>
        <v>0</v>
      </c>
      <c r="CS39" s="1433">
        <f>VLOOKUP(E39,$CO$2:$DF$11,18,FALSE)</f>
        <v>0</v>
      </c>
      <c r="CT39" s="1433">
        <f>VLOOKUP(F39,$CO$2:$DF$11,18,FALSE)</f>
        <v>0</v>
      </c>
      <c r="CU39" s="1433">
        <f>VLOOKUP(G39,$CO$2:$DF$11,18,FALSE)</f>
        <v>0</v>
      </c>
      <c r="CV39" s="1433">
        <f>VLOOKUP(H39,$CO$2:$DF$11,18,FALSE)</f>
        <v>0</v>
      </c>
      <c r="CW39" s="1433">
        <f>VLOOKUP(I39,$CO$2:$DF$11,18,FALSE)</f>
        <v>0</v>
      </c>
      <c r="CX39" s="1433">
        <f>VLOOKUP(J39,$CO$2:$DF$11,18,FALSE)</f>
        <v>3</v>
      </c>
      <c r="CY39" s="1433">
        <f>VLOOKUP(K39,$CO$2:$DF$11,18,FALSE)</f>
        <v>0</v>
      </c>
      <c r="CZ39" s="1433">
        <f>VLOOKUP(L39,$CO$2:$DF$11,18,FALSE)</f>
        <v>0</v>
      </c>
      <c r="DA39" s="1433">
        <f>VLOOKUP(M39,$CO$2:$DF$11,18,FALSE)</f>
        <v>3</v>
      </c>
      <c r="DB39" s="1433">
        <f>VLOOKUP(N39,$CO$2:$DF$11,18,FALSE)</f>
        <v>0</v>
      </c>
      <c r="DC39" s="1433">
        <f>VLOOKUP(O39,$CO$2:$DF$11,18,FALSE)</f>
        <v>3</v>
      </c>
      <c r="DD39" s="1433">
        <f>VLOOKUP(P39,$CO$2:$DF$11,18,FALSE)</f>
        <v>3</v>
      </c>
      <c r="DE39" s="1432">
        <f ca="1">IF(AND(DI39=0,A39=""),AL39,IF(DI39=0,AL39+VLOOKUP(AX39,[10]Critérium!$AC$49:$DE$100,81,FALSE),AL39+VLOOKUP(AX39,[10]Critérium!$B$6:$T$22,19,FALSE)+VLOOKUP(AX39,[10]Critérium!$AC$49:$DE$100,81,FALSE)))</f>
        <v>14</v>
      </c>
      <c r="DF39" s="1431"/>
      <c r="DG39" s="1429">
        <f ca="1">IF(AND(DI39=0,A39=""),AM39,IF(DI39=0,AM39+VLOOKUP(AX39,[10]Critérium!$AC$49:$DH$100,84,FALSE),AM39+VLOOKUP(AX39,[10]Critérium!$B$6:$V$22,21,FALSE)+VLOOKUP(AX39,[10]Critérium!$AC$49:$DH$100,84,FALSE)))</f>
        <v>23</v>
      </c>
      <c r="DH39" s="1430">
        <f ca="1">IF(DG39=0,0,(DE39/DG39+RAND()*0.0001))</f>
        <v>0.60869724953383186</v>
      </c>
      <c r="DI39" s="1429">
        <f>VLOOKUP(AX39,[10]liste!AN:AR,5,FALSE)</f>
        <v>0</v>
      </c>
      <c r="DJ39" s="1427">
        <f ca="1">DG39+RAND()</f>
        <v>23.879707111111326</v>
      </c>
      <c r="DK39" s="1427" t="str">
        <f>A39</f>
        <v>Faulkner Thierry</v>
      </c>
      <c r="DL39" s="1427"/>
      <c r="DM39" s="1428">
        <f>HLOOKUP($DM$1,$C$1:$P$70,39,FALSE)</f>
        <v>2</v>
      </c>
      <c r="DN39" s="1428">
        <f>HLOOKUP($DN$1,$Q$1:$AD$70,39,FALSE)</f>
        <v>3</v>
      </c>
      <c r="DO39" s="1401"/>
      <c r="DP39" s="1464">
        <v>70</v>
      </c>
      <c r="DR39" s="1400">
        <f>IF(SUM(C39:P39)=0,0,(AE39*10/SUM(C39:P39)/2)*AE39/21)</f>
        <v>0.47619047619047616</v>
      </c>
      <c r="DS39" s="1427"/>
      <c r="DT39" s="1444"/>
      <c r="DU39" s="1444"/>
      <c r="DV39" s="1462" t="s">
        <v>759</v>
      </c>
      <c r="DW39" s="1462" t="s">
        <v>758</v>
      </c>
      <c r="DX39" s="1444"/>
      <c r="DY39" s="1444"/>
      <c r="DZ39" s="1444"/>
      <c r="EA39" s="1444"/>
      <c r="EB39" s="1427"/>
      <c r="EC39" s="1427"/>
      <c r="ED39" s="1427"/>
      <c r="EE39" s="1427"/>
      <c r="EF39" s="1427"/>
      <c r="EG39" s="1427"/>
      <c r="EH39" s="1427"/>
      <c r="EI39" s="1427"/>
      <c r="EJ39" s="1427"/>
      <c r="EK39" s="1427"/>
      <c r="EL39" s="1427"/>
      <c r="EM39" s="1427"/>
      <c r="EN39" s="1427"/>
      <c r="EO39" s="1427"/>
      <c r="EP39" s="1427"/>
      <c r="EQ39" s="1427"/>
      <c r="ER39" s="1427"/>
      <c r="ES39" s="1427"/>
      <c r="ET39" s="1427"/>
      <c r="EU39" s="1427"/>
      <c r="EV39" s="1427"/>
      <c r="EW39" s="1427"/>
      <c r="EX39" s="1427"/>
      <c r="EY39" s="1427"/>
      <c r="EZ39" s="1427"/>
      <c r="FA39" s="1427"/>
      <c r="FB39" s="1427"/>
      <c r="FC39" s="1427"/>
      <c r="FD39" s="1427"/>
      <c r="FE39" s="1427"/>
      <c r="FF39" s="1427"/>
      <c r="FG39" s="1427"/>
      <c r="FH39" s="1427"/>
      <c r="FI39" s="1427"/>
      <c r="FJ39" s="1427"/>
      <c r="FK39" s="1427"/>
      <c r="FL39" s="1427"/>
      <c r="FM39" s="1427"/>
      <c r="FN39" s="1427"/>
      <c r="FO39" s="1427"/>
      <c r="FP39" s="1427"/>
      <c r="FQ39" s="1427"/>
    </row>
    <row r="40" spans="1:173" s="1426" customFormat="1" ht="21.95" customHeight="1">
      <c r="A40" s="1477" t="str">
        <f>[10]points!B52</f>
        <v>Simon Titouan</v>
      </c>
      <c r="B40" s="1476">
        <v>9</v>
      </c>
      <c r="C40" s="1428"/>
      <c r="D40" s="1428"/>
      <c r="E40" s="1428"/>
      <c r="F40" s="1428"/>
      <c r="G40" s="1428"/>
      <c r="H40" s="1428"/>
      <c r="I40" s="1475"/>
      <c r="J40" s="1428"/>
      <c r="K40" s="1428"/>
      <c r="L40" s="1428"/>
      <c r="M40" s="1428"/>
      <c r="N40" s="1428"/>
      <c r="O40" s="1428">
        <v>7</v>
      </c>
      <c r="P40" s="1474"/>
      <c r="Q40" s="1472"/>
      <c r="R40" s="1471"/>
      <c r="S40" s="1471"/>
      <c r="T40" s="1471"/>
      <c r="U40" s="1471"/>
      <c r="V40" s="1471"/>
      <c r="W40" s="1473"/>
      <c r="X40" s="1472"/>
      <c r="Y40" s="1471"/>
      <c r="Z40" s="1471"/>
      <c r="AA40" s="1471"/>
      <c r="AB40" s="1471"/>
      <c r="AC40" s="1471">
        <v>0</v>
      </c>
      <c r="AD40" s="1471"/>
      <c r="AE40" s="1458">
        <f>IF(B40="","",COUNTIF(C40:P40,"&gt;0"))</f>
        <v>1</v>
      </c>
      <c r="AF40" s="1470">
        <f>SUM(Q40:W40)</f>
        <v>0</v>
      </c>
      <c r="AG40" s="1470">
        <f>SUM(CQ40:CW40)</f>
        <v>0</v>
      </c>
      <c r="AH40" s="1469" t="str">
        <f ca="1">IF(AG40=0,"X",IF(AG40&lt;LARGE(AG$2:AG$70,1)/3,"NS",RAND()*0.00001+AF40/AG40))</f>
        <v>X</v>
      </c>
      <c r="AI40" s="1470">
        <f>SUM(X40:AD40)</f>
        <v>0</v>
      </c>
      <c r="AJ40" s="1470">
        <f>SUM(CX40:DD40)</f>
        <v>3</v>
      </c>
      <c r="AK40" s="1469" t="str">
        <f ca="1">IF(AJ40=0,"X",IF(AJ40&lt;LARGE(AJ$2:AJ$70,1)/4,"NS",RAND()*0.00001+AI40/AJ40))</f>
        <v>NS</v>
      </c>
      <c r="AL40" s="1470">
        <f>SUM(Q40:AD40)</f>
        <v>0</v>
      </c>
      <c r="AM40" s="1470">
        <f>SUM(CQ40:DD40)</f>
        <v>3</v>
      </c>
      <c r="AN40" s="1469" t="str">
        <f ca="1">IF(AM40=0,"X",IF(AM40&lt;LARGE(AM$2:AM$70,1)/3,"NS",RAND()*0.00001+AL40/AM40))</f>
        <v>NS</v>
      </c>
      <c r="AO40" s="1437">
        <f ca="1">IF(B40="",10,B40+RAND()*0.01)</f>
        <v>9.005990002553359</v>
      </c>
      <c r="AP40" s="1437" t="str">
        <f ca="1">IF(AND(C40="",J40=""),"e",IF(J40="",IF($BD$1&lt;=7,C40+RAND()*0.01,"e"),J40+RAND()*0.01))</f>
        <v>e</v>
      </c>
      <c r="AQ40" s="1437" t="str">
        <f ca="1">IF(AND(D40="",K40=""),"e",IF(K40="",IF($BD$1&lt;=7,D40+RAND()*0.01,"e"),K40+RAND()*0.01))</f>
        <v>e</v>
      </c>
      <c r="AR40" s="1437" t="str">
        <f ca="1">IF(AND(E40="",L40=""),"e",IF(L40="",IF($BD$1&lt;=7,E40+RAND()*0.01,"e"),L40+RAND()*0.01))</f>
        <v>e</v>
      </c>
      <c r="AS40" s="1437" t="str">
        <f ca="1">IF(AND(F40="",M40=""),"e",IF(M40="",IF($BD$1&lt;=7,F40+RAND()*0.01,"e"),M40+RAND()*0.01))</f>
        <v>e</v>
      </c>
      <c r="AT40" s="1437" t="str">
        <f ca="1">IF(AND(G40="",N40=""),"e",IF(N40="",IF($BD$1&lt;=7,G40+RAND()*0.01,"e"),N40+RAND()*0.01))</f>
        <v>e</v>
      </c>
      <c r="AU40" s="1437">
        <f ca="1">IF(AND(H40="",O40=""),"e",IF(O40="",IF($BD$1&lt;=7,H40+RAND()*0.01,"e"),O40+RAND()*0.01))</f>
        <v>7.0004557829863829</v>
      </c>
      <c r="AV40" s="1437" t="str">
        <f ca="1">IF(AND(I40="",P40=""),"e",IF(P40="",IF($BD$1&lt;=7,I40+RAND()*0.01,"e"),P40+RAND()*0.01))</f>
        <v>e</v>
      </c>
      <c r="AW40" s="1437"/>
      <c r="AX40" s="1436" t="str">
        <f>A40</f>
        <v>Simon Titouan</v>
      </c>
      <c r="AY40" s="1580" t="str">
        <f>IF(OR($H$2&gt;0,$H$3&gt;0,$H$4&gt;0,$H$5&gt;0,$H$6&gt;0,$H$7&gt;0,$H$8&gt;0,$H$2&gt;0),"",IF(COUNTIF(C40:H40,"")&gt;=5,"",IF(COUNTIF(C40:H40,SMALL(C40:H40,1))&gt;=2,SMALL(C40:H40,1),SMALL(C40:H40,2))))</f>
        <v/>
      </c>
      <c r="AZ40" s="1581" t="str">
        <f>IF(COUNTIF(J40:O40,"")&gt;=5,"",IF(COUNTIF(J40:O40,SMALL(J40:O40,1))&gt;=2,SMALL(J40:O40,1),SMALL(J40:O40,2)))</f>
        <v/>
      </c>
      <c r="BA40" s="1401"/>
      <c r="BB40" s="1482" t="str">
        <f ca="1">IF(ROUND(BD40,0)=ROUND(BD39,0),"-",5)</f>
        <v>-</v>
      </c>
      <c r="BC40" s="1478" t="str">
        <f ca="1">IF($BD$1&lt;=7,[10]clt!U61,[10]clt!BO61)</f>
        <v>TT ERDEVEN-BELZ 1</v>
      </c>
      <c r="BD40" s="1481">
        <f ca="1">IF($BD$1&lt;=7,[10]clt!V61,[10]clt!BP61)</f>
        <v>13.000065330690823</v>
      </c>
      <c r="BE40" s="1480">
        <f ca="1">IF($BD$1&lt;=7,[10]clt!W61,[10]clt!BQ61)</f>
        <v>5</v>
      </c>
      <c r="BF40" s="1480">
        <f ca="1">IF($BD$1&lt;=7,[10]clt!X61,[10]clt!BR61)</f>
        <v>4</v>
      </c>
      <c r="BG40" s="1480">
        <f ca="1">IF($BD$1&lt;=7,[10]clt!Z61,[10]clt!BS61)</f>
        <v>0</v>
      </c>
      <c r="BH40" s="1480">
        <f ca="1">IF($BD$1&lt;=7,[10]clt!Y61,[10]clt!BT61)</f>
        <v>1</v>
      </c>
      <c r="BI40" s="1480">
        <f ca="1">IF($BD$1&lt;=7,[10]clt!AA61,[10]clt!BU61)</f>
        <v>48</v>
      </c>
      <c r="BJ40" s="1480">
        <f ca="1">IF($BD$1&lt;=7,[10]clt!AB61,[10]clt!BV61)</f>
        <v>22</v>
      </c>
      <c r="BK40" s="1401"/>
      <c r="BL40" s="1482">
        <f ca="1">IF(ROUND(BN40,0)=ROUND(BN39,0),"-",5)</f>
        <v>5</v>
      </c>
      <c r="BM40" s="1478" t="str">
        <f ca="1">IF($BD$1&lt;=7,'[10]clt (2)'!U7,'[10]clt (2)'!AW7)</f>
        <v>CTT MENIMUR 7</v>
      </c>
      <c r="BN40" s="1481">
        <f ca="1">IF($BD$1&lt;=7,'[10]clt (2)'!V7,'[10]clt (2)'!AX7)</f>
        <v>11.000030322107373</v>
      </c>
      <c r="BO40" s="1480">
        <f ca="1">IF($BD$1&lt;=7,'[10]clt (2)'!W7,'[10]clt (2)'!AY7)</f>
        <v>6</v>
      </c>
      <c r="BP40" s="1480">
        <f ca="1">IF($BD$1&lt;=7,'[10]clt (2)'!X7,'[10]clt (2)'!AZ7)</f>
        <v>2</v>
      </c>
      <c r="BQ40" s="1480">
        <f ca="1">IF($BD$1&lt;=7,'[10]clt (2)'!Y7,'[10]clt (2)'!BA7)</f>
        <v>1</v>
      </c>
      <c r="BR40" s="1480">
        <f ca="1">IF($BD$1&lt;=7,'[10]clt (2)'!Z7,'[10]clt (2)'!BB7)</f>
        <v>3</v>
      </c>
      <c r="BS40" s="1480">
        <f ca="1">IF($BD$1&lt;=7,'[10]clt (2)'!AA7,'[10]clt (2)'!BC7)</f>
        <v>40</v>
      </c>
      <c r="BT40" s="1480">
        <f ca="1">IF($BD$1&lt;=7,'[10]clt (2)'!AB7,'[10]clt (2)'!BD7)</f>
        <v>44</v>
      </c>
      <c r="BU40" s="1459"/>
      <c r="BV40" s="1401"/>
      <c r="BW40" s="1401"/>
      <c r="BX40" s="1401"/>
      <c r="BY40" s="561">
        <f ca="1">IF($BD$1&lt;=7,COUNTIF($C40:$I40,"1")+RAND()*0.0001,COUNTIF($J40:$P40,"1")+RAND()*0.0001)</f>
        <v>7.2971075645662075E-6</v>
      </c>
      <c r="BZ40" s="561" t="str">
        <f ca="1">IF(BY40&lt;1,"",AX40)</f>
        <v/>
      </c>
      <c r="CA40" s="561">
        <f ca="1">IF($BD$1&lt;=7,COUNTIF($C40:$I40,"2")+RAND()*0.0001,COUNTIF($J40:$P40,"2")+RAND()*0.0001)</f>
        <v>7.3296279392862413E-5</v>
      </c>
      <c r="CB40" s="561" t="str">
        <f ca="1">IF(CA40&lt;1,"",AX40)</f>
        <v/>
      </c>
      <c r="CC40" s="561">
        <f ca="1">IF($BD$1&lt;=7,COUNTIF($C40:$I40,"3")+RAND()*0.0001,COUNTIF($J40:$P40,"3")+RAND()*0.0001)</f>
        <v>8.0915457703624141E-5</v>
      </c>
      <c r="CD40" s="561" t="str">
        <f ca="1">IF(CC40&lt;1,"",AX40)</f>
        <v/>
      </c>
      <c r="CE40" s="561">
        <f ca="1">IF($BD$1&lt;=7,COUNTIF($C40:$I40,"4")+RAND()*0.0001,COUNTIF($J40:$P40,"4")+RAND()*0.0001)</f>
        <v>9.4703667071805079E-5</v>
      </c>
      <c r="CF40" s="561" t="str">
        <f ca="1">IF(CE40&lt;1,"",AX40)</f>
        <v/>
      </c>
      <c r="CG40" s="561">
        <f ca="1">IF($BD$1&lt;=7,COUNTIF($C40:$I40,"5")+RAND()*0.0001,COUNTIF($J40:$P40,"5")+RAND()*0.0001)</f>
        <v>4.9148631320987351E-6</v>
      </c>
      <c r="CH40" s="561" t="str">
        <f ca="1">IF(CG40&lt;1,"",AX40)</f>
        <v/>
      </c>
      <c r="CI40" s="561">
        <f ca="1">IF($BD$1&lt;=7,COUNTIF($C40:$I40,"6")+RAND()*0.0001,COUNTIF($J40:$P40,"6")+RAND()*0.0001)</f>
        <v>2.3936327624866038E-5</v>
      </c>
      <c r="CJ40" s="561" t="str">
        <f ca="1">IF(CI40&lt;1,"",AX40)</f>
        <v/>
      </c>
      <c r="CK40" s="561">
        <f ca="1">IF($BD$1&lt;=7,COUNTIF($C40:$I40,"7")+RAND()*0.0001,COUNTIF($J40:$P40,"7")+RAND()*0.0001)</f>
        <v>1.0000493814104707</v>
      </c>
      <c r="CL40" s="561" t="str">
        <f ca="1">IF(CK40&lt;1,"",AX40)</f>
        <v>Simon Titouan</v>
      </c>
      <c r="CM40" s="561">
        <f ca="1">IF($BD$1&lt;=7,COUNTIF($C40:$I40,"8")+RAND()*0.0001,COUNTIF($J40:$P40,"8")+RAND()*0.0001)</f>
        <v>4.2524191877940133E-5</v>
      </c>
      <c r="CN40" s="561" t="str">
        <f ca="1">IF(CM40&lt;1,"",AX40)</f>
        <v/>
      </c>
      <c r="CO40" s="1401"/>
      <c r="CP40" s="1401">
        <f ca="1">AE40+RAND()*0.01</f>
        <v>1.006268095162703</v>
      </c>
      <c r="CQ40" s="1433">
        <f>VLOOKUP(C40,$CO$2:$DF$11,18,FALSE)</f>
        <v>0</v>
      </c>
      <c r="CR40" s="1433">
        <f>VLOOKUP(D40,$CO$2:$DF$11,18,FALSE)</f>
        <v>0</v>
      </c>
      <c r="CS40" s="1433">
        <f>VLOOKUP(E40,$CO$2:$DF$11,18,FALSE)</f>
        <v>0</v>
      </c>
      <c r="CT40" s="1433">
        <f>VLOOKUP(F40,$CO$2:$DF$11,18,FALSE)</f>
        <v>0</v>
      </c>
      <c r="CU40" s="1433">
        <f>VLOOKUP(G40,$CO$2:$DF$11,18,FALSE)</f>
        <v>0</v>
      </c>
      <c r="CV40" s="1433">
        <f>VLOOKUP(H40,$CO$2:$DF$11,18,FALSE)</f>
        <v>0</v>
      </c>
      <c r="CW40" s="1433">
        <f>VLOOKUP(I40,$CO$2:$DF$11,18,FALSE)</f>
        <v>0</v>
      </c>
      <c r="CX40" s="1433">
        <f>VLOOKUP(J40,$CO$2:$DF$11,18,FALSE)</f>
        <v>0</v>
      </c>
      <c r="CY40" s="1433">
        <f>VLOOKUP(K40,$CO$2:$DF$11,18,FALSE)</f>
        <v>0</v>
      </c>
      <c r="CZ40" s="1433">
        <f>VLOOKUP(L40,$CO$2:$DF$11,18,FALSE)</f>
        <v>0</v>
      </c>
      <c r="DA40" s="1433">
        <f>VLOOKUP(M40,$CO$2:$DF$11,18,FALSE)</f>
        <v>0</v>
      </c>
      <c r="DB40" s="1433">
        <f>VLOOKUP(N40,$CO$2:$DF$11,18,FALSE)</f>
        <v>0</v>
      </c>
      <c r="DC40" s="1433">
        <f>VLOOKUP(O40,$CO$2:$DF$11,18,FALSE)</f>
        <v>3</v>
      </c>
      <c r="DD40" s="1433">
        <f>VLOOKUP(P40,$CO$2:$DF$11,18,FALSE)</f>
        <v>0</v>
      </c>
      <c r="DE40" s="1432">
        <f ca="1">IF(AND(DI40=0,A40=""),AL40,IF(DI40=0,AL40+VLOOKUP(AX40,[10]Critérium!$AC$49:$DE$100,81,FALSE),AL40+VLOOKUP(AX40,[10]Critérium!$B$6:$T$22,19,FALSE)+VLOOKUP(AX40,[10]Critérium!$AC$49:$DE$100,81,FALSE)))</f>
        <v>9</v>
      </c>
      <c r="DF40" s="1431"/>
      <c r="DG40" s="1429">
        <f ca="1">IF(AND(DI40=0,A40=""),AM40,IF(DI40=0,AM40+VLOOKUP(AX40,[10]Critérium!$AC$49:$DH$100,84,FALSE),AM40+VLOOKUP(AX40,[10]Critérium!$B$6:$V$22,21,FALSE)+VLOOKUP(AX40,[10]Critérium!$AC$49:$DH$100,84,FALSE)))</f>
        <v>33</v>
      </c>
      <c r="DH40" s="1430">
        <f ca="1">IF(DG40=0,0,(DE40/DG40+RAND()*0.0001))</f>
        <v>0.27273842387431846</v>
      </c>
      <c r="DI40" s="1429">
        <f>VLOOKUP(AX40,[10]liste!AN:AR,5,FALSE)</f>
        <v>0</v>
      </c>
      <c r="DJ40" s="1427">
        <f ca="1">DG40+RAND()</f>
        <v>33.793503885670631</v>
      </c>
      <c r="DK40" s="1427" t="str">
        <f>A40</f>
        <v>Simon Titouan</v>
      </c>
      <c r="DL40" s="1427"/>
      <c r="DM40" s="1428">
        <f>HLOOKUP($DM$1,$C$1:$P$70,40,FALSE)</f>
        <v>0</v>
      </c>
      <c r="DN40" s="1428">
        <f>HLOOKUP($DN$1,$Q$1:$AD$70,40,FALSE)</f>
        <v>0</v>
      </c>
      <c r="DO40" s="1401"/>
      <c r="DP40" s="1463">
        <v>75</v>
      </c>
      <c r="DR40" s="1400">
        <f>IF(SUM(C40:P40)=0,0,(AE40*10/SUM(C40:P40)/2)*AE40/21)</f>
        <v>3.4013605442176874E-2</v>
      </c>
      <c r="DS40" s="1427"/>
      <c r="DT40" s="1444"/>
      <c r="DU40" s="1444"/>
      <c r="DV40" s="1462" t="s">
        <v>757</v>
      </c>
      <c r="DW40" s="1462" t="s">
        <v>756</v>
      </c>
      <c r="DX40" s="1444"/>
      <c r="DY40" s="1444"/>
      <c r="DZ40" s="1444"/>
      <c r="EA40" s="1444"/>
      <c r="EB40" s="1427"/>
      <c r="EC40" s="1427"/>
      <c r="ED40" s="1427"/>
      <c r="EE40" s="1427"/>
      <c r="EF40" s="1427"/>
      <c r="EG40" s="1427"/>
      <c r="EH40" s="1427"/>
      <c r="EI40" s="1427"/>
      <c r="EJ40" s="1427"/>
      <c r="EK40" s="1427"/>
      <c r="EL40" s="1427"/>
      <c r="EM40" s="1427"/>
      <c r="EN40" s="1427"/>
      <c r="EO40" s="1427"/>
      <c r="EP40" s="1427"/>
      <c r="EQ40" s="1427"/>
      <c r="ER40" s="1427"/>
      <c r="ES40" s="1427"/>
      <c r="ET40" s="1427"/>
      <c r="EU40" s="1427"/>
      <c r="EV40" s="1427"/>
      <c r="EW40" s="1427"/>
      <c r="EX40" s="1427"/>
      <c r="EY40" s="1427"/>
      <c r="EZ40" s="1427"/>
      <c r="FA40" s="1427"/>
      <c r="FB40" s="1427"/>
      <c r="FC40" s="1427"/>
      <c r="FD40" s="1427"/>
      <c r="FE40" s="1427"/>
      <c r="FF40" s="1427"/>
      <c r="FG40" s="1427"/>
      <c r="FH40" s="1427"/>
      <c r="FI40" s="1427"/>
      <c r="FJ40" s="1427"/>
      <c r="FK40" s="1427"/>
      <c r="FL40" s="1427"/>
      <c r="FM40" s="1427"/>
      <c r="FN40" s="1427"/>
      <c r="FO40" s="1427"/>
      <c r="FP40" s="1427"/>
      <c r="FQ40" s="1427"/>
    </row>
    <row r="41" spans="1:173" s="1426" customFormat="1" ht="21.95" customHeight="1">
      <c r="A41" s="1477" t="str">
        <f>[10]points!B22</f>
        <v>Trin Kilian</v>
      </c>
      <c r="B41" s="1476">
        <v>9</v>
      </c>
      <c r="C41" s="1428"/>
      <c r="D41" s="1428"/>
      <c r="E41" s="1428"/>
      <c r="F41" s="1428"/>
      <c r="G41" s="1428"/>
      <c r="H41" s="1428"/>
      <c r="I41" s="1475"/>
      <c r="J41" s="1428"/>
      <c r="K41" s="1428">
        <v>1</v>
      </c>
      <c r="L41" s="1428">
        <v>1</v>
      </c>
      <c r="M41" s="1428"/>
      <c r="N41" s="1428"/>
      <c r="O41" s="1428"/>
      <c r="P41" s="1474"/>
      <c r="Q41" s="1472"/>
      <c r="R41" s="1471"/>
      <c r="S41" s="1471"/>
      <c r="T41" s="1471"/>
      <c r="U41" s="1471"/>
      <c r="V41" s="1471"/>
      <c r="W41" s="1473"/>
      <c r="X41" s="1472"/>
      <c r="Y41" s="1471">
        <v>1</v>
      </c>
      <c r="Z41" s="1471">
        <v>2</v>
      </c>
      <c r="AA41" s="1471"/>
      <c r="AB41" s="1471"/>
      <c r="AC41" s="1471"/>
      <c r="AD41" s="1471"/>
      <c r="AE41" s="1458">
        <f>IF(B41="","",COUNTIF(C41:P41,"&gt;0"))</f>
        <v>2</v>
      </c>
      <c r="AF41" s="1470">
        <f>SUM(Q41:W41)</f>
        <v>0</v>
      </c>
      <c r="AG41" s="1470">
        <f>SUM(CQ41:CW41)</f>
        <v>0</v>
      </c>
      <c r="AH41" s="1469" t="str">
        <f ca="1">IF(AG41=0,"X",IF(AG41&lt;LARGE(AG$2:AG$70,1)/3,"NS",RAND()*0.00001+AF41/AG41))</f>
        <v>X</v>
      </c>
      <c r="AI41" s="1470">
        <f>SUM(X41:AD41)</f>
        <v>3</v>
      </c>
      <c r="AJ41" s="1470">
        <f>SUM(CX41:DD41)</f>
        <v>6</v>
      </c>
      <c r="AK41" s="1469">
        <f ca="1">IF(AJ41=0,"X",IF(AJ41&lt;LARGE(AJ$2:AJ$70,1)/4,"NS",RAND()*0.00001+AI41/AJ41))</f>
        <v>0.50000913179130291</v>
      </c>
      <c r="AL41" s="1470">
        <f>SUM(Q41:AD41)</f>
        <v>3</v>
      </c>
      <c r="AM41" s="1470">
        <f>SUM(CQ41:DD41)</f>
        <v>6</v>
      </c>
      <c r="AN41" s="1469" t="str">
        <f ca="1">IF(AM41=0,"X",IF(AM41&lt;LARGE(AM$2:AM$70,1)/3,"NS",RAND()*0.00001+AL41/AM41))</f>
        <v>NS</v>
      </c>
      <c r="AO41" s="1437">
        <f ca="1">IF(B41="",10,B41+RAND()*0.01)</f>
        <v>9.0046662211185815</v>
      </c>
      <c r="AP41" s="1437" t="str">
        <f ca="1">IF(AND(C41="",J41=""),"e",IF(J41="",IF($BD$1&lt;=7,C41+RAND()*0.01,"e"),J41+RAND()*0.01))</f>
        <v>e</v>
      </c>
      <c r="AQ41" s="1437">
        <f ca="1">IF(AND(D41="",K41=""),"e",IF(K41="",IF($BD$1&lt;=7,D41+RAND()*0.01,"e"),K41+RAND()*0.01))</f>
        <v>1.000512407229867</v>
      </c>
      <c r="AR41" s="1437">
        <f ca="1">IF(AND(E41="",L41=""),"e",IF(L41="",IF($BD$1&lt;=7,E41+RAND()*0.01,"e"),L41+RAND()*0.01))</f>
        <v>1.0012499417153249</v>
      </c>
      <c r="AS41" s="1437" t="str">
        <f ca="1">IF(AND(F41="",M41=""),"e",IF(M41="",IF($BD$1&lt;=7,F41+RAND()*0.01,"e"),M41+RAND()*0.01))</f>
        <v>e</v>
      </c>
      <c r="AT41" s="1437" t="str">
        <f ca="1">IF(AND(G41="",N41=""),"e",IF(N41="",IF($BD$1&lt;=7,G41+RAND()*0.01,"e"),N41+RAND()*0.01))</f>
        <v>e</v>
      </c>
      <c r="AU41" s="1437" t="str">
        <f ca="1">IF(AND(H41="",O41=""),"e",IF(O41="",IF($BD$1&lt;=7,H41+RAND()*0.01,"e"),O41+RAND()*0.01))</f>
        <v>e</v>
      </c>
      <c r="AV41" s="1437" t="str">
        <f ca="1">IF(AND(I41="",P41=""),"e",IF(P41="",IF($BD$1&lt;=7,I41+RAND()*0.01,"e"),P41+RAND()*0.01))</f>
        <v>e</v>
      </c>
      <c r="AW41" s="1437"/>
      <c r="AX41" s="1436" t="str">
        <f>A41</f>
        <v>Trin Kilian</v>
      </c>
      <c r="AY41" s="1580" t="str">
        <f>IF(OR($H$2&gt;0,$H$3&gt;0,$H$4&gt;0,$H$5&gt;0,$H$6&gt;0,$H$7&gt;0,$H$8&gt;0,$H$2&gt;0),"",IF(COUNTIF(C41:H41,"")&gt;=5,"",IF(COUNTIF(C41:H41,SMALL(C41:H41,1))&gt;=2,SMALL(C41:H41,1),SMALL(C41:H41,2))))</f>
        <v/>
      </c>
      <c r="AZ41" s="1581">
        <f>IF(COUNTIF(J41:O41,"")&gt;=5,"",IF(COUNTIF(J41:O41,SMALL(J41:O41,1))&gt;=2,SMALL(J41:O41,1),SMALL(J41:O41,2)))</f>
        <v>1</v>
      </c>
      <c r="BA41" s="1401"/>
      <c r="BB41" s="1482">
        <f ca="1">IF(ROUND(BD41,0)=ROUND(BD40,0),"-",6)</f>
        <v>6</v>
      </c>
      <c r="BC41" s="1478" t="str">
        <f ca="1">IF($BD$1&lt;=7,[10]clt!U62,[10]clt!BO62)</f>
        <v>AJK VANNES 5</v>
      </c>
      <c r="BD41" s="1481">
        <f ca="1">IF($BD$1&lt;=7,[10]clt!V62,[10]clt!BP62)</f>
        <v>11.0000936543503</v>
      </c>
      <c r="BE41" s="1479">
        <f ca="1">IF($BD$1&lt;=7,[10]clt!W62,[10]clt!BQ62)</f>
        <v>7</v>
      </c>
      <c r="BF41" s="1479">
        <f ca="1">IF($BD$1&lt;=7,[10]clt!X62,[10]clt!BR62)</f>
        <v>2</v>
      </c>
      <c r="BG41" s="1480">
        <f ca="1">IF($BD$1&lt;=7,[10]clt!Z62,[10]clt!BS62)</f>
        <v>0</v>
      </c>
      <c r="BH41" s="1480">
        <f ca="1">IF($BD$1&lt;=7,[10]clt!Y62,[10]clt!BT62)</f>
        <v>5</v>
      </c>
      <c r="BI41" s="1479">
        <f ca="1">IF($BD$1&lt;=7,[10]clt!AA62,[10]clt!BU62)</f>
        <v>46</v>
      </c>
      <c r="BJ41" s="1479">
        <f ca="1">IF($BD$1&lt;=7,[10]clt!AB62,[10]clt!BV62)</f>
        <v>52</v>
      </c>
      <c r="BK41" s="1401"/>
      <c r="BL41" s="1482">
        <f ca="1">IF(ROUND(BN41,0)=ROUND(BN40,0),"-",6)</f>
        <v>6</v>
      </c>
      <c r="BM41" s="1478" t="str">
        <f ca="1">IF($BD$1&lt;=7,'[10]clt (2)'!U8,'[10]clt (2)'!AW8)</f>
        <v>MUZILLAC TT 8</v>
      </c>
      <c r="BN41" s="1481">
        <f ca="1">IF($BD$1&lt;=7,'[10]clt (2)'!V8,'[10]clt (2)'!AX8)</f>
        <v>9.0000312649712857</v>
      </c>
      <c r="BO41" s="1479">
        <f ca="1">IF($BD$1&lt;=7,'[10]clt (2)'!W8,'[10]clt (2)'!AY8)</f>
        <v>6</v>
      </c>
      <c r="BP41" s="1479">
        <f ca="1">IF($BD$1&lt;=7,'[10]clt (2)'!X8,'[10]clt (2)'!AZ8)</f>
        <v>1</v>
      </c>
      <c r="BQ41" s="1480">
        <f ca="1">IF($BD$1&lt;=7,'[10]clt (2)'!Y8,'[10]clt (2)'!BA8)</f>
        <v>1</v>
      </c>
      <c r="BR41" s="1480">
        <f ca="1">IF($BD$1&lt;=7,'[10]clt (2)'!Z8,'[10]clt (2)'!BB8)</f>
        <v>4</v>
      </c>
      <c r="BS41" s="1479">
        <f ca="1">IF($BD$1&lt;=7,'[10]clt (2)'!AA8,'[10]clt (2)'!BC8)</f>
        <v>27</v>
      </c>
      <c r="BT41" s="1479">
        <f ca="1">IF($BD$1&lt;=7,'[10]clt (2)'!AB8,'[10]clt (2)'!BD8)</f>
        <v>57</v>
      </c>
      <c r="BU41" s="1459"/>
      <c r="BV41" s="1401"/>
      <c r="BW41" s="1401"/>
      <c r="BX41" s="1401"/>
      <c r="BY41" s="561">
        <f ca="1">IF($BD$1&lt;=7,COUNTIF($C41:$I41,"1")+RAND()*0.0001,COUNTIF($J41:$P41,"1")+RAND()*0.0001)</f>
        <v>2.0000272448929453</v>
      </c>
      <c r="BZ41" s="561" t="str">
        <f ca="1">IF(BY41&lt;1,"",AX41)</f>
        <v>Trin Kilian</v>
      </c>
      <c r="CA41" s="561">
        <f ca="1">IF($BD$1&lt;=7,COUNTIF($C41:$I41,"2")+RAND()*0.0001,COUNTIF($J41:$P41,"2")+RAND()*0.0001)</f>
        <v>1.9712844386047703E-6</v>
      </c>
      <c r="CB41" s="561" t="str">
        <f ca="1">IF(CA41&lt;1,"",AX41)</f>
        <v/>
      </c>
      <c r="CC41" s="561">
        <f ca="1">IF($BD$1&lt;=7,COUNTIF($C41:$I41,"3")+RAND()*0.0001,COUNTIF($J41:$P41,"3")+RAND()*0.0001)</f>
        <v>3.2789994625183797E-5</v>
      </c>
      <c r="CD41" s="561" t="str">
        <f ca="1">IF(CC41&lt;1,"",AX41)</f>
        <v/>
      </c>
      <c r="CE41" s="561">
        <f ca="1">IF($BD$1&lt;=7,COUNTIF($C41:$I41,"4")+RAND()*0.0001,COUNTIF($J41:$P41,"4")+RAND()*0.0001)</f>
        <v>2.7391045395984381E-5</v>
      </c>
      <c r="CF41" s="561" t="str">
        <f ca="1">IF(CE41&lt;1,"",AX41)</f>
        <v/>
      </c>
      <c r="CG41" s="561">
        <f ca="1">IF($BD$1&lt;=7,COUNTIF($C41:$I41,"5")+RAND()*0.0001,COUNTIF($J41:$P41,"5")+RAND()*0.0001)</f>
        <v>8.2091006680432395E-5</v>
      </c>
      <c r="CH41" s="561" t="str">
        <f ca="1">IF(CG41&lt;1,"",AX41)</f>
        <v/>
      </c>
      <c r="CI41" s="561">
        <f ca="1">IF($BD$1&lt;=7,COUNTIF($C41:$I41,"6")+RAND()*0.0001,COUNTIF($J41:$P41,"6")+RAND()*0.0001)</f>
        <v>2.183021699047526E-5</v>
      </c>
      <c r="CJ41" s="561" t="str">
        <f ca="1">IF(CI41&lt;1,"",AX41)</f>
        <v/>
      </c>
      <c r="CK41" s="561">
        <f ca="1">IF($BD$1&lt;=7,COUNTIF($C41:$I41,"7")+RAND()*0.0001,COUNTIF($J41:$P41,"7")+RAND()*0.0001)</f>
        <v>3.2250325539895067E-5</v>
      </c>
      <c r="CL41" s="561" t="str">
        <f ca="1">IF(CK41&lt;1,"",AX41)</f>
        <v/>
      </c>
      <c r="CM41" s="561">
        <f ca="1">IF($BD$1&lt;=7,COUNTIF($C41:$I41,"8")+RAND()*0.0001,COUNTIF($J41:$P41,"8")+RAND()*0.0001)</f>
        <v>9.8194981519789671E-6</v>
      </c>
      <c r="CN41" s="561" t="str">
        <f ca="1">IF(CM41&lt;1,"",AX41)</f>
        <v/>
      </c>
      <c r="CO41" s="1401"/>
      <c r="CP41" s="1401">
        <f ca="1">AE41+RAND()*0.01</f>
        <v>2.0068843777401129</v>
      </c>
      <c r="CQ41" s="1433">
        <f>VLOOKUP(C41,$CO$2:$DF$11,18,FALSE)</f>
        <v>0</v>
      </c>
      <c r="CR41" s="1433">
        <f>VLOOKUP(D41,$CO$2:$DF$11,18,FALSE)</f>
        <v>0</v>
      </c>
      <c r="CS41" s="1433">
        <f>VLOOKUP(E41,$CO$2:$DF$11,18,FALSE)</f>
        <v>0</v>
      </c>
      <c r="CT41" s="1433">
        <f>VLOOKUP(F41,$CO$2:$DF$11,18,FALSE)</f>
        <v>0</v>
      </c>
      <c r="CU41" s="1433">
        <f>VLOOKUP(G41,$CO$2:$DF$11,18,FALSE)</f>
        <v>0</v>
      </c>
      <c r="CV41" s="1433">
        <f>VLOOKUP(H41,$CO$2:$DF$11,18,FALSE)</f>
        <v>0</v>
      </c>
      <c r="CW41" s="1433">
        <f>VLOOKUP(I41,$CO$2:$DF$11,18,FALSE)</f>
        <v>0</v>
      </c>
      <c r="CX41" s="1433">
        <f>VLOOKUP(J41,$CO$2:$DF$11,18,FALSE)</f>
        <v>0</v>
      </c>
      <c r="CY41" s="1433">
        <f>VLOOKUP(K41,$CO$2:$DF$11,18,FALSE)</f>
        <v>3</v>
      </c>
      <c r="CZ41" s="1433">
        <f>VLOOKUP(L41,$CO$2:$DF$11,18,FALSE)</f>
        <v>3</v>
      </c>
      <c r="DA41" s="1433">
        <f>VLOOKUP(M41,$CO$2:$DF$11,18,FALSE)</f>
        <v>0</v>
      </c>
      <c r="DB41" s="1433">
        <f>VLOOKUP(N41,$CO$2:$DF$11,18,FALSE)</f>
        <v>0</v>
      </c>
      <c r="DC41" s="1433">
        <f>VLOOKUP(O41,$CO$2:$DF$11,18,FALSE)</f>
        <v>0</v>
      </c>
      <c r="DD41" s="1433">
        <f>VLOOKUP(P41,$CO$2:$DF$11,18,FALSE)</f>
        <v>0</v>
      </c>
      <c r="DE41" s="1432">
        <f ca="1">IF(AND(DI41=0,A41=""),AL41,IF(DI41=0,AL41+VLOOKUP(AX41,[10]Critérium!$AC$49:$DE$100,81,FALSE),AL41+VLOOKUP(AX41,[10]Critérium!$B$6:$T$22,19,FALSE)+VLOOKUP(AX41,[10]Critérium!$AC$49:$DE$100,81,FALSE)))</f>
        <v>3</v>
      </c>
      <c r="DF41" s="1431"/>
      <c r="DG41" s="1429">
        <f ca="1">IF(AND(DI41=0,A41=""),AM41,IF(DI41=0,AM41+VLOOKUP(AX41,[10]Critérium!$AC$49:$DH$100,84,FALSE),AM41+VLOOKUP(AX41,[10]Critérium!$B$6:$V$22,21,FALSE)+VLOOKUP(AX41,[10]Critérium!$AC$49:$DH$100,84,FALSE)))</f>
        <v>6</v>
      </c>
      <c r="DH41" s="1430">
        <f ca="1">IF(DG41=0,0,(DE41/DG41+RAND()*0.0001))</f>
        <v>0.50001334094326078</v>
      </c>
      <c r="DI41" s="1429">
        <f>VLOOKUP(AX41,[10]liste!AN:AR,5,FALSE)</f>
        <v>0</v>
      </c>
      <c r="DJ41" s="1427">
        <f ca="1">DG41+RAND()</f>
        <v>6.4895393158739534</v>
      </c>
      <c r="DK41" s="1427" t="str">
        <f>A41</f>
        <v>Trin Kilian</v>
      </c>
      <c r="DL41" s="1427"/>
      <c r="DM41" s="1428">
        <f>HLOOKUP($DM$1,$C$1:$P$70,41,FALSE)</f>
        <v>0</v>
      </c>
      <c r="DN41" s="1428">
        <f>HLOOKUP($DN$1,$Q$1:$AD$70,41,FALSE)</f>
        <v>0</v>
      </c>
      <c r="DO41" s="1401"/>
      <c r="DP41" s="1464">
        <v>80</v>
      </c>
      <c r="DR41" s="1400">
        <f>IF(SUM(C41:P41)=0,0,(AE41*10/SUM(C41:P41)/2)*AE41/21)</f>
        <v>0.47619047619047616</v>
      </c>
      <c r="DS41" s="1427"/>
      <c r="DT41" s="1444"/>
      <c r="DU41" s="1444"/>
      <c r="DV41" s="1462" t="s">
        <v>755</v>
      </c>
      <c r="DW41" s="1462" t="s">
        <v>754</v>
      </c>
      <c r="DX41" s="1444"/>
      <c r="DY41" s="1444"/>
      <c r="DZ41" s="1444"/>
      <c r="EA41" s="1444"/>
      <c r="EB41" s="1427"/>
      <c r="EC41" s="1427"/>
      <c r="ED41" s="1427"/>
      <c r="EE41" s="1427"/>
      <c r="EF41" s="1427"/>
      <c r="EG41" s="1427"/>
      <c r="EH41" s="1427"/>
      <c r="EI41" s="1427"/>
      <c r="EJ41" s="1427"/>
      <c r="EK41" s="1427"/>
      <c r="EL41" s="1427"/>
      <c r="EM41" s="1427"/>
      <c r="EN41" s="1427"/>
      <c r="EO41" s="1427"/>
      <c r="EP41" s="1427"/>
      <c r="EQ41" s="1427"/>
      <c r="ER41" s="1427"/>
      <c r="ES41" s="1427"/>
      <c r="ET41" s="1427"/>
      <c r="EU41" s="1427"/>
      <c r="EV41" s="1427"/>
      <c r="EW41" s="1427"/>
      <c r="EX41" s="1427"/>
      <c r="EY41" s="1427"/>
      <c r="EZ41" s="1427"/>
      <c r="FA41" s="1427"/>
      <c r="FB41" s="1427"/>
      <c r="FC41" s="1427"/>
      <c r="FD41" s="1427"/>
      <c r="FE41" s="1427"/>
      <c r="FF41" s="1427"/>
      <c r="FG41" s="1427"/>
      <c r="FH41" s="1427"/>
      <c r="FI41" s="1427"/>
      <c r="FJ41" s="1427"/>
      <c r="FK41" s="1427"/>
      <c r="FL41" s="1427"/>
      <c r="FM41" s="1427"/>
      <c r="FN41" s="1427"/>
      <c r="FO41" s="1427"/>
      <c r="FP41" s="1427"/>
      <c r="FQ41" s="1427"/>
    </row>
    <row r="42" spans="1:173" s="1426" customFormat="1" ht="21.95" customHeight="1">
      <c r="A42" s="1477" t="str">
        <f>[10]points!B54</f>
        <v>Ayoul-Bellot Thais</v>
      </c>
      <c r="B42" s="1476">
        <v>9</v>
      </c>
      <c r="C42" s="1428"/>
      <c r="D42" s="1428"/>
      <c r="E42" s="1428"/>
      <c r="F42" s="1428"/>
      <c r="G42" s="1428"/>
      <c r="H42" s="1428"/>
      <c r="I42" s="1475"/>
      <c r="J42" s="1428"/>
      <c r="K42" s="1428"/>
      <c r="L42" s="1428"/>
      <c r="M42" s="1428"/>
      <c r="N42" s="1428"/>
      <c r="O42" s="1428">
        <v>7</v>
      </c>
      <c r="P42" s="1474"/>
      <c r="Q42" s="1472"/>
      <c r="R42" s="1471"/>
      <c r="S42" s="1471"/>
      <c r="T42" s="1471"/>
      <c r="U42" s="1471"/>
      <c r="V42" s="1471"/>
      <c r="W42" s="1473"/>
      <c r="X42" s="1472"/>
      <c r="Y42" s="1471"/>
      <c r="Z42" s="1471"/>
      <c r="AA42" s="1471"/>
      <c r="AB42" s="1471"/>
      <c r="AC42" s="1471">
        <v>0</v>
      </c>
      <c r="AD42" s="1471"/>
      <c r="AE42" s="1458">
        <f>IF(B42="","",COUNTIF(C42:P42,"&gt;0"))</f>
        <v>1</v>
      </c>
      <c r="AF42" s="1470">
        <f>SUM(Q42:W42)</f>
        <v>0</v>
      </c>
      <c r="AG42" s="1470">
        <f>SUM(CQ42:CW42)</f>
        <v>0</v>
      </c>
      <c r="AH42" s="1469" t="str">
        <f ca="1">IF(AG42=0,"X",IF(AG42&lt;LARGE(AG$2:AG$70,1)/3,"NS",RAND()*0.00001+AF42/AG42))</f>
        <v>X</v>
      </c>
      <c r="AI42" s="1470">
        <f>SUM(X42:AD42)</f>
        <v>0</v>
      </c>
      <c r="AJ42" s="1470">
        <f>SUM(CX42:DD42)</f>
        <v>3</v>
      </c>
      <c r="AK42" s="1469" t="str">
        <f ca="1">IF(AJ42=0,"X",IF(AJ42&lt;LARGE(AJ$2:AJ$70,1)/4,"NS",RAND()*0.00001+AI42/AJ42))</f>
        <v>NS</v>
      </c>
      <c r="AL42" s="1470">
        <f>SUM(Q42:AD42)</f>
        <v>0</v>
      </c>
      <c r="AM42" s="1470">
        <f>SUM(CQ42:DD42)</f>
        <v>3</v>
      </c>
      <c r="AN42" s="1469" t="str">
        <f ca="1">IF(AM42=0,"X",IF(AM42&lt;LARGE(AM$2:AM$70,1)/3,"NS",RAND()*0.00001+AL42/AM42))</f>
        <v>NS</v>
      </c>
      <c r="AO42" s="1437">
        <f ca="1">IF(B42="",10,B42+RAND()*0.01)</f>
        <v>9.0067521655817089</v>
      </c>
      <c r="AP42" s="1437" t="str">
        <f ca="1">IF(AND(C42="",J42=""),"e",IF(J42="",IF($BD$1&lt;=7,C42+RAND()*0.01,"e"),J42+RAND()*0.01))</f>
        <v>e</v>
      </c>
      <c r="AQ42" s="1437" t="str">
        <f ca="1">IF(AND(D42="",K42=""),"e",IF(K42="",IF($BD$1&lt;=7,D42+RAND()*0.01,"e"),K42+RAND()*0.01))</f>
        <v>e</v>
      </c>
      <c r="AR42" s="1437" t="str">
        <f ca="1">IF(AND(E42="",L42=""),"e",IF(L42="",IF($BD$1&lt;=7,E42+RAND()*0.01,"e"),L42+RAND()*0.01))</f>
        <v>e</v>
      </c>
      <c r="AS42" s="1437" t="str">
        <f ca="1">IF(AND(F42="",M42=""),"e",IF(M42="",IF($BD$1&lt;=7,F42+RAND()*0.01,"e"),M42+RAND()*0.01))</f>
        <v>e</v>
      </c>
      <c r="AT42" s="1437" t="str">
        <f ca="1">IF(AND(G42="",N42=""),"e",IF(N42="",IF($BD$1&lt;=7,G42+RAND()*0.01,"e"),N42+RAND()*0.01))</f>
        <v>e</v>
      </c>
      <c r="AU42" s="1437">
        <f ca="1">IF(AND(H42="",O42=""),"e",IF(O42="",IF($BD$1&lt;=7,H42+RAND()*0.01,"e"),O42+RAND()*0.01))</f>
        <v>7.0047535088097543</v>
      </c>
      <c r="AV42" s="1437" t="str">
        <f ca="1">IF(AND(I42="",P42=""),"e",IF(P42="",IF($BD$1&lt;=7,I42+RAND()*0.01,"e"),P42+RAND()*0.01))</f>
        <v>e</v>
      </c>
      <c r="AW42" s="1437"/>
      <c r="AX42" s="1436" t="str">
        <f>A42</f>
        <v>Ayoul-Bellot Thais</v>
      </c>
      <c r="AY42" s="1580" t="str">
        <f>IF(OR($H$2&gt;0,$H$3&gt;0,$H$4&gt;0,$H$5&gt;0,$H$6&gt;0,$H$7&gt;0,$H$8&gt;0,$H$2&gt;0),"",IF(COUNTIF(C42:H42,"")&gt;=5,"",IF(COUNTIF(C42:H42,SMALL(C42:H42,1))&gt;=2,SMALL(C42:H42,1),SMALL(C42:H42,2))))</f>
        <v/>
      </c>
      <c r="AZ42" s="1581" t="str">
        <f>IF(COUNTIF(J42:O42,"")&gt;=5,"",IF(COUNTIF(J42:O42,SMALL(J42:O42,1))&gt;=2,SMALL(J42:O42,1),SMALL(J42:O42,2)))</f>
        <v/>
      </c>
      <c r="BA42" s="1401"/>
      <c r="BB42" s="1468">
        <f ca="1">IF(ROUND(BD42,0)=ROUND(BD41,0),"-",7)</f>
        <v>7</v>
      </c>
      <c r="BC42" s="1467" t="str">
        <f ca="1">IF($BD$1&lt;=7,[10]clt!U63,[10]clt!BO63)</f>
        <v>AL PLOEMEUR 8</v>
      </c>
      <c r="BD42" s="1466">
        <f ca="1">IF($BD$1&lt;=7,[10]clt!V63,[10]clt!BP63)</f>
        <v>10.000047295362281</v>
      </c>
      <c r="BE42" s="1465">
        <f ca="1">IF($BD$1&lt;=7,[10]clt!W63,[10]clt!BQ63)</f>
        <v>6</v>
      </c>
      <c r="BF42" s="1465">
        <f ca="1">IF($BD$1&lt;=7,[10]clt!X63,[10]clt!BR63)</f>
        <v>2</v>
      </c>
      <c r="BG42" s="1465">
        <f ca="1">IF($BD$1&lt;=7,[10]clt!Z63,[10]clt!BS63)</f>
        <v>0</v>
      </c>
      <c r="BH42" s="1465">
        <f ca="1">IF($BD$1&lt;=7,[10]clt!Y63,[10]clt!BT63)</f>
        <v>4</v>
      </c>
      <c r="BI42" s="1465">
        <f ca="1">IF($BD$1&lt;=7,[10]clt!AA63,[10]clt!BU63)</f>
        <v>25</v>
      </c>
      <c r="BJ42" s="1465">
        <f ca="1">IF($BD$1&lt;=7,[10]clt!AB63,[10]clt!BV63)</f>
        <v>59</v>
      </c>
      <c r="BK42" s="1461"/>
      <c r="BL42" s="1468">
        <f ca="1">IF(ROUND(BN42,0)=ROUND(BN41,0),"-",7)</f>
        <v>7</v>
      </c>
      <c r="BM42" s="1478" t="str">
        <f ca="1">IF($BD$1&lt;=7,'[10]clt (2)'!U9,'[10]clt (2)'!AW9)</f>
        <v>AS ST PHILIBERT 3</v>
      </c>
      <c r="BN42" s="1466">
        <f ca="1">IF($BD$1&lt;=7,'[10]clt (2)'!V9,'[10]clt (2)'!AX9)</f>
        <v>7.0000225494893424</v>
      </c>
      <c r="BO42" s="1465">
        <f ca="1">IF($BD$1&lt;=7,'[10]clt (2)'!W9,'[10]clt (2)'!AY9)</f>
        <v>6</v>
      </c>
      <c r="BP42" s="1465">
        <f ca="1">IF($BD$1&lt;=7,'[10]clt (2)'!X9,'[10]clt (2)'!AZ9)</f>
        <v>0</v>
      </c>
      <c r="BQ42" s="1465">
        <f ca="1">IF($BD$1&lt;=7,'[10]clt (2)'!Y9,'[10]clt (2)'!BA9)</f>
        <v>1</v>
      </c>
      <c r="BR42" s="1465">
        <f ca="1">IF($BD$1&lt;=7,'[10]clt (2)'!Z9,'[10]clt (2)'!BB9)</f>
        <v>5</v>
      </c>
      <c r="BS42" s="1465">
        <f ca="1">IF($BD$1&lt;=7,'[10]clt (2)'!AA9,'[10]clt (2)'!BC9)</f>
        <v>21</v>
      </c>
      <c r="BT42" s="1465">
        <f ca="1">IF($BD$1&lt;=7,'[10]clt (2)'!AB9,'[10]clt (2)'!BD9)</f>
        <v>63</v>
      </c>
      <c r="BU42" s="1459"/>
      <c r="BV42" s="1401"/>
      <c r="BW42" s="1401"/>
      <c r="BX42" s="1401"/>
      <c r="BY42" s="561">
        <f ca="1">IF($BD$1&lt;=7,COUNTIF($C42:$I42,"1")+RAND()*0.0001,COUNTIF($J42:$P42,"1")+RAND()*0.0001)</f>
        <v>7.6085403509320183E-5</v>
      </c>
      <c r="BZ42" s="561" t="str">
        <f ca="1">IF(BY42&lt;1,"",AX42)</f>
        <v/>
      </c>
      <c r="CA42" s="561">
        <f ca="1">IF($BD$1&lt;=7,COUNTIF($C42:$I42,"2")+RAND()*0.0001,COUNTIF($J42:$P42,"2")+RAND()*0.0001)</f>
        <v>8.3175604278829099E-5</v>
      </c>
      <c r="CB42" s="561" t="str">
        <f ca="1">IF(CA42&lt;1,"",AX42)</f>
        <v/>
      </c>
      <c r="CC42" s="561">
        <f ca="1">IF($BD$1&lt;=7,COUNTIF($C42:$I42,"3")+RAND()*0.0001,COUNTIF($J42:$P42,"3")+RAND()*0.0001)</f>
        <v>1.0628401301567948E-6</v>
      </c>
      <c r="CD42" s="561" t="str">
        <f ca="1">IF(CC42&lt;1,"",AX42)</f>
        <v/>
      </c>
      <c r="CE42" s="561">
        <f ca="1">IF($BD$1&lt;=7,COUNTIF($C42:$I42,"4")+RAND()*0.0001,COUNTIF($J42:$P42,"4")+RAND()*0.0001)</f>
        <v>1.844927113682724E-5</v>
      </c>
      <c r="CF42" s="561" t="str">
        <f ca="1">IF(CE42&lt;1,"",AX42)</f>
        <v/>
      </c>
      <c r="CG42" s="561">
        <f ca="1">IF($BD$1&lt;=7,COUNTIF($C42:$I42,"5")+RAND()*0.0001,COUNTIF($J42:$P42,"5")+RAND()*0.0001)</f>
        <v>9.4239812877475431E-5</v>
      </c>
      <c r="CH42" s="561" t="str">
        <f ca="1">IF(CG42&lt;1,"",AX42)</f>
        <v/>
      </c>
      <c r="CI42" s="561">
        <f ca="1">IF($BD$1&lt;=7,COUNTIF($C42:$I42,"6")+RAND()*0.0001,COUNTIF($J42:$P42,"6")+RAND()*0.0001)</f>
        <v>7.3466527278586384E-5</v>
      </c>
      <c r="CJ42" s="561" t="str">
        <f ca="1">IF(CI42&lt;1,"",AX42)</f>
        <v/>
      </c>
      <c r="CK42" s="561">
        <f ca="1">IF($BD$1&lt;=7,COUNTIF($C42:$I42,"7")+RAND()*0.0001,COUNTIF($J42:$P42,"7")+RAND()*0.0001)</f>
        <v>1.000086260670731</v>
      </c>
      <c r="CL42" s="561" t="str">
        <f ca="1">IF(CK42&lt;1,"",AX42)</f>
        <v>Ayoul-Bellot Thais</v>
      </c>
      <c r="CM42" s="561">
        <f ca="1">IF($BD$1&lt;=7,COUNTIF($C42:$I42,"8")+RAND()*0.0001,COUNTIF($J42:$P42,"8")+RAND()*0.0001)</f>
        <v>6.8943351675288385E-5</v>
      </c>
      <c r="CN42" s="561" t="str">
        <f ca="1">IF(CM42&lt;1,"",AX42)</f>
        <v/>
      </c>
      <c r="CO42" s="1401"/>
      <c r="CP42" s="1401">
        <f ca="1">AE42+RAND()*0.01</f>
        <v>1.006675103261691</v>
      </c>
      <c r="CQ42" s="1433">
        <f>VLOOKUP(C42,$CO$2:$DF$11,18,FALSE)</f>
        <v>0</v>
      </c>
      <c r="CR42" s="1433">
        <f>VLOOKUP(D42,$CO$2:$DF$11,18,FALSE)</f>
        <v>0</v>
      </c>
      <c r="CS42" s="1433">
        <f>VLOOKUP(E42,$CO$2:$DF$11,18,FALSE)</f>
        <v>0</v>
      </c>
      <c r="CT42" s="1433">
        <f>VLOOKUP(F42,$CO$2:$DF$11,18,FALSE)</f>
        <v>0</v>
      </c>
      <c r="CU42" s="1433">
        <f>VLOOKUP(G42,$CO$2:$DF$11,18,FALSE)</f>
        <v>0</v>
      </c>
      <c r="CV42" s="1433">
        <f>VLOOKUP(H42,$CO$2:$DF$11,18,FALSE)</f>
        <v>0</v>
      </c>
      <c r="CW42" s="1433">
        <f>VLOOKUP(I42,$CO$2:$DF$11,18,FALSE)</f>
        <v>0</v>
      </c>
      <c r="CX42" s="1433">
        <f>VLOOKUP(J42,$CO$2:$DF$11,18,FALSE)</f>
        <v>0</v>
      </c>
      <c r="CY42" s="1433">
        <f>VLOOKUP(K42,$CO$2:$DF$11,18,FALSE)</f>
        <v>0</v>
      </c>
      <c r="CZ42" s="1433">
        <f>VLOOKUP(L42,$CO$2:$DF$11,18,FALSE)</f>
        <v>0</v>
      </c>
      <c r="DA42" s="1433">
        <f>VLOOKUP(M42,$CO$2:$DF$11,18,FALSE)</f>
        <v>0</v>
      </c>
      <c r="DB42" s="1433">
        <f>VLOOKUP(N42,$CO$2:$DF$11,18,FALSE)</f>
        <v>0</v>
      </c>
      <c r="DC42" s="1433">
        <f>VLOOKUP(O42,$CO$2:$DF$11,18,FALSE)</f>
        <v>3</v>
      </c>
      <c r="DD42" s="1433">
        <f>VLOOKUP(P42,$CO$2:$DF$11,18,FALSE)</f>
        <v>0</v>
      </c>
      <c r="DE42" s="1432">
        <f ca="1">IF(AND(DI42=0,A42=""),AL42,IF(DI42=0,AL42+VLOOKUP(AX42,[10]Critérium!$AC$49:$DE$100,81,FALSE),AL42+VLOOKUP(AX42,[10]Critérium!$B$6:$T$22,19,FALSE)+VLOOKUP(AX42,[10]Critérium!$AC$49:$DE$100,81,FALSE)))</f>
        <v>2</v>
      </c>
      <c r="DF42" s="1431"/>
      <c r="DG42" s="1429">
        <f ca="1">IF(AND(DI42=0,A42=""),AM42,IF(DI42=0,AM42+VLOOKUP(AX42,[10]Critérium!$AC$49:$DH$100,84,FALSE),AM42+VLOOKUP(AX42,[10]Critérium!$B$6:$V$22,21,FALSE)+VLOOKUP(AX42,[10]Critérium!$AC$49:$DH$100,84,FALSE)))</f>
        <v>18</v>
      </c>
      <c r="DH42" s="1430">
        <f ca="1">IF(DG42=0,0,(DE42/DG42+RAND()*0.0001))</f>
        <v>0.11116428125047317</v>
      </c>
      <c r="DI42" s="1429">
        <f>VLOOKUP(AX42,[10]liste!AN:AR,5,FALSE)</f>
        <v>0</v>
      </c>
      <c r="DJ42" s="1427">
        <f ca="1">DG42+RAND()</f>
        <v>18.348910583353909</v>
      </c>
      <c r="DK42" s="1427" t="str">
        <f>A42</f>
        <v>Ayoul-Bellot Thais</v>
      </c>
      <c r="DL42" s="1427"/>
      <c r="DM42" s="1428">
        <f>HLOOKUP($DM$1,$C$1:$P$70,42,FALSE)</f>
        <v>0</v>
      </c>
      <c r="DN42" s="1428">
        <f>HLOOKUP($DN$1,$Q$1:$AD$70,42,FALSE)</f>
        <v>0</v>
      </c>
      <c r="DO42" s="1401"/>
      <c r="DP42" s="1463">
        <v>85</v>
      </c>
      <c r="DR42" s="1400">
        <f>IF(SUM(C42:P42)=0,0,(AE42*10/SUM(C42:P42)/2)*AE42/21)</f>
        <v>3.4013605442176874E-2</v>
      </c>
      <c r="DS42" s="1427"/>
      <c r="DT42" s="1444"/>
      <c r="DU42" s="1444"/>
      <c r="DV42" s="1462" t="s">
        <v>753</v>
      </c>
      <c r="DW42" s="1462" t="s">
        <v>752</v>
      </c>
      <c r="DX42" s="1444"/>
      <c r="DY42" s="1444"/>
      <c r="DZ42" s="1444"/>
      <c r="EA42" s="1444"/>
      <c r="EB42" s="1427"/>
      <c r="EC42" s="1427"/>
      <c r="ED42" s="1427"/>
      <c r="EE42" s="1427"/>
      <c r="EF42" s="1427"/>
      <c r="EG42" s="1427"/>
      <c r="EH42" s="1427"/>
      <c r="EI42" s="1427"/>
      <c r="EJ42" s="1427"/>
      <c r="EK42" s="1427"/>
      <c r="EL42" s="1427"/>
      <c r="EM42" s="1427"/>
      <c r="EN42" s="1427"/>
      <c r="EO42" s="1427"/>
      <c r="EP42" s="1427"/>
      <c r="EQ42" s="1427"/>
      <c r="ER42" s="1427"/>
      <c r="ES42" s="1427"/>
      <c r="ET42" s="1427"/>
      <c r="EU42" s="1427"/>
      <c r="EV42" s="1427"/>
      <c r="EW42" s="1427"/>
      <c r="EX42" s="1427"/>
      <c r="EY42" s="1427"/>
      <c r="EZ42" s="1427"/>
      <c r="FA42" s="1427"/>
      <c r="FB42" s="1427"/>
      <c r="FC42" s="1427"/>
      <c r="FD42" s="1427"/>
      <c r="FE42" s="1427"/>
      <c r="FF42" s="1427"/>
      <c r="FG42" s="1427"/>
      <c r="FH42" s="1427"/>
      <c r="FI42" s="1427"/>
      <c r="FJ42" s="1427"/>
      <c r="FK42" s="1427"/>
      <c r="FL42" s="1427"/>
      <c r="FM42" s="1427"/>
      <c r="FN42" s="1427"/>
      <c r="FO42" s="1427"/>
      <c r="FP42" s="1427"/>
      <c r="FQ42" s="1427"/>
    </row>
    <row r="43" spans="1:173" s="1426" customFormat="1" ht="21.95" customHeight="1">
      <c r="A43" s="1477" t="str">
        <f>[10]points!B57</f>
        <v>Cojean Gwendal</v>
      </c>
      <c r="B43" s="1476">
        <v>9</v>
      </c>
      <c r="C43" s="1428"/>
      <c r="D43" s="1428"/>
      <c r="E43" s="1428"/>
      <c r="F43" s="1428"/>
      <c r="G43" s="1428"/>
      <c r="H43" s="1428"/>
      <c r="I43" s="1475"/>
      <c r="J43" s="1428"/>
      <c r="K43" s="1428"/>
      <c r="L43" s="1428"/>
      <c r="M43" s="1428"/>
      <c r="N43" s="1428"/>
      <c r="O43" s="1428">
        <v>7</v>
      </c>
      <c r="P43" s="1474"/>
      <c r="Q43" s="1472"/>
      <c r="R43" s="1471"/>
      <c r="S43" s="1471"/>
      <c r="T43" s="1471"/>
      <c r="U43" s="1471"/>
      <c r="V43" s="1471"/>
      <c r="W43" s="1473"/>
      <c r="X43" s="1472"/>
      <c r="Y43" s="1471"/>
      <c r="Z43" s="1471"/>
      <c r="AA43" s="1471"/>
      <c r="AB43" s="1471"/>
      <c r="AC43" s="1471">
        <v>0</v>
      </c>
      <c r="AD43" s="1471"/>
      <c r="AE43" s="1492">
        <f>IF(B43="","",COUNTIF(C43:P43,"&gt;0"))</f>
        <v>1</v>
      </c>
      <c r="AF43" s="1470">
        <f>SUM(Q43:W43)</f>
        <v>0</v>
      </c>
      <c r="AG43" s="1470">
        <f>SUM(CQ43:CW43)</f>
        <v>0</v>
      </c>
      <c r="AH43" s="1469" t="str">
        <f ca="1">IF(AG43=0,"X",IF(AG43&lt;LARGE(AG$2:AG$70,1)/3,"NS",RAND()*0.00001+AF43/AG43))</f>
        <v>X</v>
      </c>
      <c r="AI43" s="1470">
        <f>SUM(X43:AD43)</f>
        <v>0</v>
      </c>
      <c r="AJ43" s="1470">
        <f>SUM(CX43:DD43)</f>
        <v>3</v>
      </c>
      <c r="AK43" s="1469" t="str">
        <f ca="1">IF(AJ43=0,"X",IF(AJ43&lt;LARGE(AJ$2:AJ$70,1)/4,"NS",RAND()*0.00001+AI43/AJ43))</f>
        <v>NS</v>
      </c>
      <c r="AL43" s="1470">
        <f>SUM(Q43:AD43)</f>
        <v>0</v>
      </c>
      <c r="AM43" s="1470">
        <f>SUM(CQ43:DD43)</f>
        <v>3</v>
      </c>
      <c r="AN43" s="1469" t="str">
        <f ca="1">IF(AM43=0,"X",IF(AM43&lt;LARGE(AM$2:AM$70,1)/3,"NS",RAND()*0.00001+AL43/AM43))</f>
        <v>NS</v>
      </c>
      <c r="AO43" s="1437">
        <f ca="1">IF(B43="",10,B43+RAND()*0.01)</f>
        <v>9.0059818394610964</v>
      </c>
      <c r="AP43" s="1437" t="str">
        <f ca="1">IF(AND(C43="",J43=""),"e",IF(J43="",IF($BD$1&lt;=7,C43+RAND()*0.01,"e"),J43+RAND()*0.01))</f>
        <v>e</v>
      </c>
      <c r="AQ43" s="1437" t="str">
        <f ca="1">IF(AND(D43="",K43=""),"e",IF(K43="",IF($BD$1&lt;=7,D43+RAND()*0.01,"e"),K43+RAND()*0.01))</f>
        <v>e</v>
      </c>
      <c r="AR43" s="1437" t="str">
        <f ca="1">IF(AND(E43="",L43=""),"e",IF(L43="",IF($BD$1&lt;=7,E43+RAND()*0.01,"e"),L43+RAND()*0.01))</f>
        <v>e</v>
      </c>
      <c r="AS43" s="1437" t="str">
        <f ca="1">IF(AND(F43="",M43=""),"e",IF(M43="",IF($BD$1&lt;=7,F43+RAND()*0.01,"e"),M43+RAND()*0.01))</f>
        <v>e</v>
      </c>
      <c r="AT43" s="1437" t="str">
        <f ca="1">IF(AND(G43="",N43=""),"e",IF(N43="",IF($BD$1&lt;=7,G43+RAND()*0.01,"e"),N43+RAND()*0.01))</f>
        <v>e</v>
      </c>
      <c r="AU43" s="1437">
        <f ca="1">IF(AND(H43="",O43=""),"e",IF(O43="",IF($BD$1&lt;=7,H43+RAND()*0.01,"e"),O43+RAND()*0.01))</f>
        <v>7.0042770533154615</v>
      </c>
      <c r="AV43" s="1437" t="str">
        <f ca="1">IF(AND(I43="",P43=""),"e",IF(P43="",IF($BD$1&lt;=7,I43+RAND()*0.01,"e"),P43+RAND()*0.01))</f>
        <v>e</v>
      </c>
      <c r="AW43" s="1437"/>
      <c r="AX43" s="1436" t="str">
        <f>A43</f>
        <v>Cojean Gwendal</v>
      </c>
      <c r="AY43" s="1580" t="str">
        <f>IF(OR($H$2&gt;0,$H$3&gt;0,$H$4&gt;0,$H$5&gt;0,$H$6&gt;0,$H$7&gt;0,$H$8&gt;0,$H$2&gt;0),"",IF(COUNTIF(C43:H43,"")&gt;=5,"",IF(COUNTIF(C43:H43,SMALL(C43:H43,1))&gt;=2,SMALL(C43:H43,1),SMALL(C43:H43,2))))</f>
        <v/>
      </c>
      <c r="AZ43" s="1581" t="str">
        <f>IF(COUNTIF(J43:O43,"")&gt;=5,"",IF(COUNTIF(J43:O43,SMALL(J43:O43,1))&gt;=2,SMALL(J43:O43,1),SMALL(J43:O43,2)))</f>
        <v/>
      </c>
      <c r="BA43" s="1401"/>
      <c r="BB43" s="1468">
        <f ca="1">IF(ROUND(BD43,0)=ROUND(BD42,0),"-",7)</f>
        <v>7</v>
      </c>
      <c r="BC43" s="1467" t="str">
        <f ca="1">IF($BD$1&lt;=7,[10]clt!U64,[10]clt!BO64)</f>
        <v>MUZILLAC TT 7</v>
      </c>
      <c r="BD43" s="1466">
        <f ca="1">IF($BD$1&lt;=7,[10]clt!V64,[10]clt!BP64)</f>
        <v>8.0000308160880067</v>
      </c>
      <c r="BE43" s="1465">
        <f ca="1">IF($BD$1&lt;=7,[10]clt!W64,[10]clt!BQ64)</f>
        <v>7</v>
      </c>
      <c r="BF43" s="1465">
        <f ca="1">IF($BD$1&lt;=7,[10]clt!X64,[10]clt!BR64)</f>
        <v>0</v>
      </c>
      <c r="BG43" s="1465">
        <f ca="1">IF($BD$1&lt;=7,[10]clt!Z64,[10]clt!BS64)</f>
        <v>1</v>
      </c>
      <c r="BH43" s="1465">
        <f ca="1">IF($BD$1&lt;=7,[10]clt!Y64,[10]clt!BT64)</f>
        <v>6</v>
      </c>
      <c r="BI43" s="1465">
        <f ca="1">IF($BD$1&lt;=7,[10]clt!AA64,[10]clt!BU64)</f>
        <v>24</v>
      </c>
      <c r="BJ43" s="1465">
        <f ca="1">IF($BD$1&lt;=7,[10]clt!AB64,[10]clt!BV64)</f>
        <v>74</v>
      </c>
      <c r="BK43" s="1400"/>
      <c r="BL43" s="1468">
        <f ca="1">IF(ROUND(BN43,0)=ROUND(BN42,0),"-",7)</f>
        <v>7</v>
      </c>
      <c r="BM43" s="1467" t="str">
        <f ca="1">IF($BD$1&lt;=7,'[10]clt (2)'!U10,'[10]clt (2)'!AW10)</f>
        <v>Exempt</v>
      </c>
      <c r="BN43" s="1466">
        <f ca="1">IF($BD$1&lt;=7,'[10]clt (2)'!V10,'[10]clt (2)'!AX10)</f>
        <v>5.1130897849606051E-5</v>
      </c>
      <c r="BO43" s="1465">
        <f ca="1">IF($BD$1&lt;=7,'[10]clt (2)'!W10,'[10]clt (2)'!AY10)</f>
        <v>0</v>
      </c>
      <c r="BP43" s="1465">
        <f ca="1">IF($BD$1&lt;=7,'[10]clt (2)'!X10,'[10]clt (2)'!AZ10)</f>
        <v>0</v>
      </c>
      <c r="BQ43" s="1465">
        <f ca="1">IF($BD$1&lt;=7,'[10]clt (2)'!Y10,'[10]clt (2)'!BA10)</f>
        <v>0</v>
      </c>
      <c r="BR43" s="1465">
        <f ca="1">IF($BD$1&lt;=7,'[10]clt (2)'!Z10,'[10]clt (2)'!BB10)</f>
        <v>0</v>
      </c>
      <c r="BS43" s="1465">
        <f ca="1">IF($BD$1&lt;=7,'[10]clt (2)'!AA10,'[10]clt (2)'!BC10)</f>
        <v>0</v>
      </c>
      <c r="BT43" s="1465">
        <f ca="1">IF($BD$1&lt;=7,'[10]clt (2)'!AB10,'[10]clt (2)'!BD10)</f>
        <v>0</v>
      </c>
      <c r="BU43" s="1459"/>
      <c r="BV43" s="1401"/>
      <c r="BW43" s="1401"/>
      <c r="BX43" s="1401"/>
      <c r="BY43" s="561">
        <f ca="1">IF($BD$1&lt;=7,COUNTIF($C43:$I43,"1")+RAND()*0.0001,COUNTIF($J43:$P43,"1")+RAND()*0.0001)</f>
        <v>6.3030122079143071E-5</v>
      </c>
      <c r="BZ43" s="561" t="str">
        <f ca="1">IF(BY43&lt;1,"",AX43)</f>
        <v/>
      </c>
      <c r="CA43" s="561">
        <f ca="1">IF($BD$1&lt;=7,COUNTIF($C43:$I43,"2")+RAND()*0.0001,COUNTIF($J43:$P43,"2")+RAND()*0.0001)</f>
        <v>2.8956308299222813E-5</v>
      </c>
      <c r="CB43" s="561" t="str">
        <f ca="1">IF(CA43&lt;1,"",AX43)</f>
        <v/>
      </c>
      <c r="CC43" s="561">
        <f ca="1">IF($BD$1&lt;=7,COUNTIF($C43:$I43,"3")+RAND()*0.0001,COUNTIF($J43:$P43,"3")+RAND()*0.0001)</f>
        <v>8.7751503608357823E-5</v>
      </c>
      <c r="CD43" s="561" t="str">
        <f ca="1">IF(CC43&lt;1,"",AX43)</f>
        <v/>
      </c>
      <c r="CE43" s="561">
        <f ca="1">IF($BD$1&lt;=7,COUNTIF($C43:$I43,"4")+RAND()*0.0001,COUNTIF($J43:$P43,"4")+RAND()*0.0001)</f>
        <v>6.0479940145493856E-6</v>
      </c>
      <c r="CF43" s="561" t="str">
        <f ca="1">IF(CE43&lt;1,"",AX43)</f>
        <v/>
      </c>
      <c r="CG43" s="561">
        <f ca="1">IF($BD$1&lt;=7,COUNTIF($C43:$I43,"5")+RAND()*0.0001,COUNTIF($J43:$P43,"5")+RAND()*0.0001)</f>
        <v>2.2747747026652855E-5</v>
      </c>
      <c r="CH43" s="561" t="str">
        <f ca="1">IF(CG43&lt;1,"",AX43)</f>
        <v/>
      </c>
      <c r="CI43" s="561">
        <f ca="1">IF($BD$1&lt;=7,COUNTIF($C43:$I43,"6")+RAND()*0.0001,COUNTIF($J43:$P43,"6")+RAND()*0.0001)</f>
        <v>9.4724806305014302E-5</v>
      </c>
      <c r="CJ43" s="561" t="str">
        <f ca="1">IF(CI43&lt;1,"",AX43)</f>
        <v/>
      </c>
      <c r="CK43" s="561">
        <f ca="1">IF($BD$1&lt;=7,COUNTIF($C43:$I43,"7")+RAND()*0.0001,COUNTIF($J43:$P43,"7")+RAND()*0.0001)</f>
        <v>1.0000937888783381</v>
      </c>
      <c r="CL43" s="561" t="str">
        <f ca="1">IF(CK43&lt;1,"",AX43)</f>
        <v>Cojean Gwendal</v>
      </c>
      <c r="CM43" s="561">
        <f ca="1">IF($BD$1&lt;=7,COUNTIF($C43:$I43,"8")+RAND()*0.0001,COUNTIF($J43:$P43,"8")+RAND()*0.0001)</f>
        <v>7.4169929127776616E-5</v>
      </c>
      <c r="CN43" s="561" t="str">
        <f ca="1">IF(CM43&lt;1,"",AX43)</f>
        <v/>
      </c>
      <c r="CO43" s="1401"/>
      <c r="CP43" s="1401">
        <f ca="1">AE43+RAND()*0.01</f>
        <v>1.0030336896715744</v>
      </c>
      <c r="CQ43" s="1433">
        <f>VLOOKUP(C43,$CO$2:$DF$11,18,FALSE)</f>
        <v>0</v>
      </c>
      <c r="CR43" s="1433">
        <f>VLOOKUP(D43,$CO$2:$DF$11,18,FALSE)</f>
        <v>0</v>
      </c>
      <c r="CS43" s="1433">
        <f>VLOOKUP(E43,$CO$2:$DF$11,18,FALSE)</f>
        <v>0</v>
      </c>
      <c r="CT43" s="1433">
        <f>VLOOKUP(F43,$CO$2:$DF$11,18,FALSE)</f>
        <v>0</v>
      </c>
      <c r="CU43" s="1433">
        <f>VLOOKUP(G43,$CO$2:$DF$11,18,FALSE)</f>
        <v>0</v>
      </c>
      <c r="CV43" s="1433">
        <f>VLOOKUP(H43,$CO$2:$DF$11,18,FALSE)</f>
        <v>0</v>
      </c>
      <c r="CW43" s="1433">
        <f>VLOOKUP(I43,$CO$2:$DF$11,18,FALSE)</f>
        <v>0</v>
      </c>
      <c r="CX43" s="1433">
        <f>VLOOKUP(J43,$CO$2:$DF$11,18,FALSE)</f>
        <v>0</v>
      </c>
      <c r="CY43" s="1433">
        <f>VLOOKUP(K43,$CO$2:$DF$11,18,FALSE)</f>
        <v>0</v>
      </c>
      <c r="CZ43" s="1433">
        <f>VLOOKUP(L43,$CO$2:$DF$11,18,FALSE)</f>
        <v>0</v>
      </c>
      <c r="DA43" s="1433">
        <f>VLOOKUP(M43,$CO$2:$DF$11,18,FALSE)</f>
        <v>0</v>
      </c>
      <c r="DB43" s="1433">
        <f>VLOOKUP(N43,$CO$2:$DF$11,18,FALSE)</f>
        <v>0</v>
      </c>
      <c r="DC43" s="1433">
        <f>VLOOKUP(O43,$CO$2:$DF$11,18,FALSE)</f>
        <v>3</v>
      </c>
      <c r="DD43" s="1433">
        <f>VLOOKUP(P43,$CO$2:$DF$11,18,FALSE)</f>
        <v>0</v>
      </c>
      <c r="DE43" s="1432">
        <f ca="1">IF(AND(DI43=0,A43=""),AL43,IF(DI43=0,AL43+VLOOKUP(AX43,[10]Critérium!$AC$49:$DE$100,81,FALSE),AL43+VLOOKUP(AX43,[10]Critérium!$B$6:$T$22,19,FALSE)+VLOOKUP(AX43,[10]Critérium!$AC$49:$DE$100,81,FALSE)))</f>
        <v>2</v>
      </c>
      <c r="DF43" s="1431"/>
      <c r="DG43" s="1429">
        <f ca="1">IF(AND(DI43=0,A43=""),AM43,IF(DI43=0,AM43+VLOOKUP(AX43,[10]Critérium!$AC$49:$DH$100,84,FALSE),AM43+VLOOKUP(AX43,[10]Critérium!$B$6:$V$22,21,FALSE)+VLOOKUP(AX43,[10]Critérium!$AC$49:$DH$100,84,FALSE)))</f>
        <v>14</v>
      </c>
      <c r="DH43" s="1430">
        <f ca="1">IF(DG43=0,0,(DE43/DG43+RAND()*0.0001))</f>
        <v>0.14292790862889304</v>
      </c>
      <c r="DI43" s="1429">
        <f>VLOOKUP(AX43,[10]liste!AN:AR,5,FALSE)</f>
        <v>0</v>
      </c>
      <c r="DJ43" s="1427">
        <f ca="1">DG43+RAND()</f>
        <v>14.640747074060574</v>
      </c>
      <c r="DK43" s="1427" t="str">
        <f>A43</f>
        <v>Cojean Gwendal</v>
      </c>
      <c r="DL43" s="1427"/>
      <c r="DM43" s="1428">
        <f>HLOOKUP($DM$1,$C$1:$P$70,43,FALSE)</f>
        <v>0</v>
      </c>
      <c r="DN43" s="1428">
        <f>HLOOKUP($DN$1,$Q$1:$AD$70,43,FALSE)</f>
        <v>0</v>
      </c>
      <c r="DO43" s="1401"/>
      <c r="DP43" s="1464">
        <v>90</v>
      </c>
      <c r="DR43" s="1400">
        <f>IF(SUM(C43:P43)=0,0,(AE43*10/SUM(C43:P43)/2)*AE43/21)</f>
        <v>3.4013605442176874E-2</v>
      </c>
      <c r="DS43" s="1427"/>
      <c r="DT43" s="1444"/>
      <c r="DU43" s="1444"/>
      <c r="DV43" s="1462" t="s">
        <v>751</v>
      </c>
      <c r="DW43" s="1462" t="s">
        <v>750</v>
      </c>
      <c r="DX43" s="1444"/>
      <c r="DY43" s="1444"/>
      <c r="DZ43" s="1444"/>
      <c r="EA43" s="1444"/>
      <c r="EB43" s="1427"/>
      <c r="EC43" s="1427"/>
      <c r="ED43" s="1427"/>
      <c r="EE43" s="1427"/>
      <c r="EF43" s="1427"/>
      <c r="EG43" s="1427"/>
      <c r="EH43" s="1427"/>
      <c r="EI43" s="1427"/>
      <c r="EJ43" s="1427"/>
      <c r="EK43" s="1427"/>
      <c r="EL43" s="1427"/>
      <c r="EM43" s="1427"/>
      <c r="EN43" s="1427"/>
      <c r="EO43" s="1427"/>
      <c r="EP43" s="1427"/>
      <c r="EQ43" s="1427"/>
      <c r="ER43" s="1427"/>
      <c r="ES43" s="1427"/>
      <c r="ET43" s="1427"/>
      <c r="EU43" s="1427"/>
      <c r="EV43" s="1427"/>
      <c r="EW43" s="1427"/>
      <c r="EX43" s="1427"/>
      <c r="EY43" s="1427"/>
      <c r="EZ43" s="1427"/>
      <c r="FA43" s="1427"/>
      <c r="FB43" s="1427"/>
      <c r="FC43" s="1427"/>
      <c r="FD43" s="1427"/>
      <c r="FE43" s="1427"/>
      <c r="FF43" s="1427"/>
      <c r="FG43" s="1427"/>
      <c r="FH43" s="1427"/>
      <c r="FI43" s="1427"/>
      <c r="FJ43" s="1427"/>
      <c r="FK43" s="1427"/>
      <c r="FL43" s="1427"/>
      <c r="FM43" s="1427"/>
      <c r="FN43" s="1427"/>
      <c r="FO43" s="1427"/>
      <c r="FP43" s="1427"/>
      <c r="FQ43" s="1427"/>
    </row>
    <row r="44" spans="1:173" s="1426" customFormat="1" ht="21.95" customHeight="1">
      <c r="A44" s="1443" t="str">
        <f>[10]points!B58</f>
        <v/>
      </c>
      <c r="B44" s="1442" t="str">
        <f>IF(A44="","",VLOOKUP(A44,[10]liste!AN:AQ,4,FALSE))</f>
        <v/>
      </c>
      <c r="C44" s="1441"/>
      <c r="D44" s="1441"/>
      <c r="E44" s="1441"/>
      <c r="F44" s="1441"/>
      <c r="G44" s="1441"/>
      <c r="H44" s="1441"/>
      <c r="I44" s="1441"/>
      <c r="J44" s="1441"/>
      <c r="K44" s="1441"/>
      <c r="L44" s="1441"/>
      <c r="M44" s="1441"/>
      <c r="N44" s="1441"/>
      <c r="O44" s="1441"/>
      <c r="P44" s="1441"/>
      <c r="Q44" s="1441"/>
      <c r="R44" s="1441"/>
      <c r="S44" s="1441"/>
      <c r="T44" s="1441"/>
      <c r="U44" s="1441"/>
      <c r="V44" s="1441"/>
      <c r="W44" s="1441"/>
      <c r="X44" s="1441"/>
      <c r="Y44" s="1441"/>
      <c r="Z44" s="1441"/>
      <c r="AA44" s="1441"/>
      <c r="AB44" s="1441"/>
      <c r="AC44" s="1441"/>
      <c r="AD44" s="1441"/>
      <c r="AE44" s="1602" t="str">
        <f>IF(B44="","",COUNTIF(C44:P44,"&gt;0"))</f>
        <v/>
      </c>
      <c r="AF44" s="1439">
        <f>SUM(Q44:W44)</f>
        <v>0</v>
      </c>
      <c r="AG44" s="1439">
        <f>SUM(CQ44:CW44)</f>
        <v>0</v>
      </c>
      <c r="AH44" s="1438" t="str">
        <f ca="1">IF(AG44=0,"X",IF(AG44&lt;LARGE(AG$2:AG$70,1)/4,"NS",RAND()*0.00001+AF44/AG44))</f>
        <v>X</v>
      </c>
      <c r="AI44" s="1439">
        <f>SUM(X44:AD44)</f>
        <v>0</v>
      </c>
      <c r="AJ44" s="1439">
        <f>SUM(CX44:DD44)</f>
        <v>0</v>
      </c>
      <c r="AK44" s="1438" t="str">
        <f ca="1">IF(AJ44=0,"X",IF(AJ44&lt;LARGE(AJ$2:AJ$70,1)/4,"NS",RAND()*0.00001+AI44/AJ44))</f>
        <v>X</v>
      </c>
      <c r="AL44" s="1439">
        <f>SUM(Q44:AD44)</f>
        <v>0</v>
      </c>
      <c r="AM44" s="1439">
        <f>SUM(CQ44:DD44)</f>
        <v>0</v>
      </c>
      <c r="AN44" s="1438" t="str">
        <f ca="1">IF(AM44=0,"X",IF(AM44&lt;LARGE(AM$2:AM$70,1)/4,"NS",RAND()*0.00001+AL44/AM44))</f>
        <v>X</v>
      </c>
      <c r="AO44" s="1437">
        <f ca="1">IF(B44="",10,B44+RAND()*0.01)</f>
        <v>10</v>
      </c>
      <c r="AP44" s="1437" t="str">
        <f ca="1">IF(AND(C44="",J44=""),"e",IF(J44="",IF($BD$1&lt;=7,C44+RAND()*0.01,"e"),J44+RAND()*0.01))</f>
        <v>e</v>
      </c>
      <c r="AQ44" s="1437" t="str">
        <f ca="1">IF(AND(D44="",K44=""),"e",IF(K44="",IF($BD$1&lt;=7,D44+RAND()*0.01,"e"),K44+RAND()*0.01))</f>
        <v>e</v>
      </c>
      <c r="AR44" s="1437" t="str">
        <f ca="1">IF(AND(E44="",L44=""),"e",IF(L44="",IF($BD$1&lt;=7,E44+RAND()*0.01,"e"),L44+RAND()*0.01))</f>
        <v>e</v>
      </c>
      <c r="AS44" s="1437" t="str">
        <f ca="1">IF(AND(F44="",M44=""),"e",IF(M44="",IF($BD$1&lt;=7,F44+RAND()*0.01,"e"),M44+RAND()*0.01))</f>
        <v>e</v>
      </c>
      <c r="AT44" s="1437" t="str">
        <f ca="1">IF(AND(G44="",N44=""),"e",IF(N44="",IF($BD$1&lt;=7,G44+RAND()*0.01,"e"),N44+RAND()*0.01))</f>
        <v>e</v>
      </c>
      <c r="AU44" s="1437" t="str">
        <f ca="1">IF(AND(H44="",O44=""),"e",IF(O44="",IF($BD$1&lt;=7,H44+RAND()*0.01,"e"),O44+RAND()*0.01))</f>
        <v>e</v>
      </c>
      <c r="AV44" s="1437" t="str">
        <f ca="1">IF(AND(I44="",P44=""),"e",IF(P44="",IF($BD$1&lt;=7,I44+RAND()*0.01,"e"),P44+RAND()*0.01))</f>
        <v>e</v>
      </c>
      <c r="AW44" s="1437"/>
      <c r="AX44" s="1436" t="str">
        <f>A44</f>
        <v/>
      </c>
      <c r="AY44" s="1580" t="str">
        <f>IF(OR($H$2&gt;0,$H$3&gt;0,$H$4&gt;0,$H$5&gt;0,$H$6&gt;0,$H$7&gt;0,$H$8&gt;0,$H$2&gt;0),"",IF(COUNTIF(C44:H44,"")&gt;=5,"",IF(COUNTIF(C44:H44,SMALL(C44:H44,1))&gt;=2,SMALL(C44:H44,1),SMALL(C44:H44,2))))</f>
        <v/>
      </c>
      <c r="AZ44" s="1581" t="str">
        <f>IF(COUNTIF(J44:O44,"")&gt;=5,"",IF(COUNTIF(J44:O44,SMALL(J44:O44,1))&gt;=2,SMALL(J44:O44,1),SMALL(J44:O44,2)))</f>
        <v/>
      </c>
      <c r="BA44" s="1401"/>
      <c r="BB44" s="1601" t="s">
        <v>814</v>
      </c>
      <c r="BC44" s="1600"/>
      <c r="BD44" s="1600"/>
      <c r="BE44" s="1600"/>
      <c r="BF44" s="1600"/>
      <c r="BG44" s="1600"/>
      <c r="BH44" s="1600"/>
      <c r="BI44" s="1600"/>
      <c r="BJ44" s="1600"/>
      <c r="BK44" s="1600"/>
      <c r="BL44" s="1600"/>
      <c r="BM44" s="1600"/>
      <c r="BN44" s="1600"/>
      <c r="BO44" s="1600"/>
      <c r="BP44" s="1600"/>
      <c r="BQ44" s="1600"/>
      <c r="BR44" s="1600"/>
      <c r="BS44" s="1600"/>
      <c r="BT44" s="1600"/>
      <c r="BU44" s="1459"/>
      <c r="BV44" s="1401"/>
      <c r="BW44" s="1401"/>
      <c r="BX44" s="1401"/>
      <c r="BY44" s="561">
        <f ca="1">IF($BD$1&lt;=7,COUNTIF($C44:$I44,"1")+RAND()*0.0001,COUNTIF($J44:$P44,"1")+RAND()*0.0001)</f>
        <v>7.9958809841638746E-5</v>
      </c>
      <c r="BZ44" s="561" t="str">
        <f ca="1">IF(BY44&lt;1,"",AX44)</f>
        <v/>
      </c>
      <c r="CA44" s="561">
        <f ca="1">IF($BD$1&lt;=7,COUNTIF($C44:$I44,"2")+RAND()*0.0001,COUNTIF($J44:$P44,"2")+RAND()*0.0001)</f>
        <v>9.6403663409210682E-5</v>
      </c>
      <c r="CB44" s="561" t="str">
        <f ca="1">IF(CA44&lt;1,"",AX44)</f>
        <v/>
      </c>
      <c r="CC44" s="561">
        <f ca="1">IF($BD$1&lt;=7,COUNTIF($C44:$I44,"3")+RAND()*0.0001,COUNTIF($J44:$P44,"3")+RAND()*0.0001)</f>
        <v>3.2559897143453864E-5</v>
      </c>
      <c r="CD44" s="561" t="str">
        <f ca="1">IF(CC44&lt;1,"",AX44)</f>
        <v/>
      </c>
      <c r="CE44" s="561">
        <f ca="1">IF($BD$1&lt;=7,COUNTIF($C44:$I44,"4")+RAND()*0.0001,COUNTIF($J44:$P44,"4")+RAND()*0.0001)</f>
        <v>5.3477786270263087E-5</v>
      </c>
      <c r="CF44" s="561" t="str">
        <f ca="1">IF(CE44&lt;1,"",AX44)</f>
        <v/>
      </c>
      <c r="CG44" s="561">
        <f ca="1">IF($BD$1&lt;=7,COUNTIF($C44:$I44,"5")+RAND()*0.0001,COUNTIF($J44:$P44,"5")+RAND()*0.0001)</f>
        <v>2.1627233245621925E-5</v>
      </c>
      <c r="CH44" s="561" t="str">
        <f ca="1">IF(CG44&lt;1,"",AX44)</f>
        <v/>
      </c>
      <c r="CI44" s="561">
        <f ca="1">IF($BD$1&lt;=7,COUNTIF($C44:$I44,"6")+RAND()*0.0001,COUNTIF($J44:$P44,"6")+RAND()*0.0001)</f>
        <v>6.2352655057616113E-6</v>
      </c>
      <c r="CJ44" s="561" t="str">
        <f ca="1">IF(CI44&lt;1,"",AX44)</f>
        <v/>
      </c>
      <c r="CK44" s="561">
        <f ca="1">IF($BD$1&lt;=7,COUNTIF($C44:$I44,"7")+RAND()*0.0001,COUNTIF($J44:$P44,"7")+RAND()*0.0001)</f>
        <v>2.2124514816177654E-5</v>
      </c>
      <c r="CL44" s="561" t="str">
        <f ca="1">IF(CK44&lt;1,"",AX44)</f>
        <v/>
      </c>
      <c r="CM44" s="561">
        <f ca="1">IF($BD$1&lt;=7,COUNTIF($C44:$I44,"8")+RAND()*0.0001,COUNTIF($J44:$P44,"8")+RAND()*0.0001)</f>
        <v>7.9088344214708507E-5</v>
      </c>
      <c r="CN44" s="561" t="str">
        <f ca="1">IF(CM44&lt;1,"",AX44)</f>
        <v/>
      </c>
      <c r="CO44" s="1401"/>
      <c r="CP44" s="1401" t="e">
        <f ca="1">AE44+RAND()*0.01</f>
        <v>#VALUE!</v>
      </c>
      <c r="CQ44" s="1433">
        <f>VLOOKUP(C44,$CO$2:$DF$11,18,FALSE)</f>
        <v>0</v>
      </c>
      <c r="CR44" s="1433">
        <f>VLOOKUP(D44,$CO$2:$DF$11,18,FALSE)</f>
        <v>0</v>
      </c>
      <c r="CS44" s="1433">
        <f>VLOOKUP(E44,$CO$2:$DF$11,18,FALSE)</f>
        <v>0</v>
      </c>
      <c r="CT44" s="1433">
        <f>VLOOKUP(F44,$CO$2:$DF$11,18,FALSE)</f>
        <v>0</v>
      </c>
      <c r="CU44" s="1433">
        <f>VLOOKUP(G44,$CO$2:$DF$11,18,FALSE)</f>
        <v>0</v>
      </c>
      <c r="CV44" s="1433">
        <f>VLOOKUP(H44,$CO$2:$DF$11,18,FALSE)</f>
        <v>0</v>
      </c>
      <c r="CW44" s="1433">
        <f>VLOOKUP(I44,$CO$2:$DF$11,18,FALSE)</f>
        <v>0</v>
      </c>
      <c r="CX44" s="1433">
        <f>VLOOKUP(J44,$CO$2:$DF$11,18,FALSE)</f>
        <v>0</v>
      </c>
      <c r="CY44" s="1433">
        <f>VLOOKUP(K44,$CO$2:$DF$11,18,FALSE)</f>
        <v>0</v>
      </c>
      <c r="CZ44" s="1433">
        <f>VLOOKUP(L44,$CO$2:$DF$11,18,FALSE)</f>
        <v>0</v>
      </c>
      <c r="DA44" s="1433">
        <f>VLOOKUP(M44,$CO$2:$DF$11,18,FALSE)</f>
        <v>0</v>
      </c>
      <c r="DB44" s="1433">
        <f>VLOOKUP(N44,$CO$2:$DF$11,18,FALSE)</f>
        <v>0</v>
      </c>
      <c r="DC44" s="1433">
        <f>VLOOKUP(O44,$CO$2:$DF$11,18,FALSE)</f>
        <v>0</v>
      </c>
      <c r="DD44" s="1433">
        <f>VLOOKUP(P44,$CO$2:$DF$11,18,FALSE)</f>
        <v>0</v>
      </c>
      <c r="DE44" s="1432">
        <f>IF(AND(DI44=0,A44=""),AL44,IF(DI44=0,AL44+VLOOKUP(AX44,[10]Critérium!$AC$49:$DE$100,81,FALSE),AL44+VLOOKUP(AX44,[10]Critérium!$B$6:$T$22,19,FALSE)+VLOOKUP(AX44,[10]Critérium!$AC$49:$DE$100,81,FALSE)))</f>
        <v>0</v>
      </c>
      <c r="DF44" s="1431"/>
      <c r="DG44" s="1429">
        <f>IF(AND(DI44=0,A44=""),AM44,IF(DI44=0,AM44+VLOOKUP(AX44,[10]Critérium!$AC$49:$DH$100,84,FALSE),AM44+VLOOKUP(AX44,[10]Critérium!$B$6:$V$22,21,FALSE)+VLOOKUP(AX44,[10]Critérium!$AC$49:$DH$100,84,FALSE)))</f>
        <v>0</v>
      </c>
      <c r="DH44" s="1430">
        <f ca="1">IF(DG44=0,0,(DE44/DG44+RAND()*0.0001))</f>
        <v>0</v>
      </c>
      <c r="DI44" s="1429">
        <f>VLOOKUP(AX44,[10]liste!AN:AR,5,FALSE)</f>
        <v>0</v>
      </c>
      <c r="DJ44" s="1427">
        <f ca="1">DG44+RAND()</f>
        <v>0.31102496889264886</v>
      </c>
      <c r="DK44" s="1427" t="str">
        <f>A44</f>
        <v/>
      </c>
      <c r="DL44" s="1427"/>
      <c r="DM44" s="1428">
        <f>HLOOKUP($DM$1,$C$1:$P$70,44,FALSE)</f>
        <v>0</v>
      </c>
      <c r="DN44" s="1428">
        <f>HLOOKUP($DN$1,$Q$1:$AD$70,44,FALSE)</f>
        <v>0</v>
      </c>
      <c r="DO44" s="1401"/>
      <c r="DP44" s="1463" t="s">
        <v>748</v>
      </c>
      <c r="DR44" s="1400">
        <f>IF(SUM(C44:P44)=0,0,(AE44*10/SUM(C44:P44)/2)*AE44/21)</f>
        <v>0</v>
      </c>
      <c r="DS44" s="1427"/>
      <c r="DT44" s="1444"/>
      <c r="DU44" s="1444"/>
      <c r="DV44" s="1462" t="s">
        <v>747</v>
      </c>
      <c r="DW44" s="1462" t="s">
        <v>746</v>
      </c>
      <c r="DX44" s="1444"/>
      <c r="DY44" s="1444"/>
      <c r="DZ44" s="1444"/>
      <c r="EA44" s="1444"/>
      <c r="EB44" s="1427"/>
      <c r="EC44" s="1427"/>
      <c r="ED44" s="1427"/>
      <c r="EE44" s="1427"/>
      <c r="EF44" s="1427"/>
      <c r="EG44" s="1427"/>
      <c r="EH44" s="1427"/>
      <c r="EI44" s="1427"/>
      <c r="EJ44" s="1427"/>
      <c r="EK44" s="1427"/>
      <c r="EL44" s="1427"/>
      <c r="EM44" s="1427"/>
      <c r="EN44" s="1427"/>
      <c r="EO44" s="1427"/>
      <c r="EP44" s="1427"/>
      <c r="EQ44" s="1427"/>
      <c r="ER44" s="1427"/>
      <c r="ES44" s="1427"/>
      <c r="ET44" s="1427"/>
      <c r="EU44" s="1427"/>
      <c r="EV44" s="1427"/>
      <c r="EW44" s="1427"/>
      <c r="EX44" s="1427"/>
      <c r="EY44" s="1427"/>
      <c r="EZ44" s="1427"/>
      <c r="FA44" s="1427"/>
      <c r="FB44" s="1427"/>
      <c r="FC44" s="1427"/>
      <c r="FD44" s="1427"/>
      <c r="FE44" s="1427"/>
      <c r="FF44" s="1427"/>
      <c r="FG44" s="1427"/>
      <c r="FH44" s="1427"/>
      <c r="FI44" s="1427"/>
      <c r="FJ44" s="1427"/>
      <c r="FK44" s="1427"/>
      <c r="FL44" s="1427"/>
      <c r="FM44" s="1427"/>
      <c r="FN44" s="1427"/>
      <c r="FO44" s="1427"/>
      <c r="FP44" s="1427"/>
      <c r="FQ44" s="1427"/>
    </row>
    <row r="45" spans="1:173" s="1426" customFormat="1" ht="21.95" customHeight="1">
      <c r="A45" s="1443" t="str">
        <f>[10]points!B59</f>
        <v/>
      </c>
      <c r="B45" s="1442" t="str">
        <f>IF(A45="","",VLOOKUP(A45,[10]liste!AN:AQ,4,FALSE))</f>
        <v/>
      </c>
      <c r="C45" s="1441"/>
      <c r="D45" s="1441"/>
      <c r="E45" s="1441"/>
      <c r="F45" s="1441"/>
      <c r="G45" s="1441"/>
      <c r="H45" s="1441"/>
      <c r="I45" s="1441"/>
      <c r="J45" s="1441"/>
      <c r="K45" s="1441"/>
      <c r="L45" s="1441"/>
      <c r="M45" s="1441"/>
      <c r="N45" s="1441"/>
      <c r="O45" s="1441"/>
      <c r="P45" s="1441"/>
      <c r="Q45" s="1441"/>
      <c r="R45" s="1441"/>
      <c r="S45" s="1441"/>
      <c r="T45" s="1441"/>
      <c r="U45" s="1441"/>
      <c r="V45" s="1441"/>
      <c r="W45" s="1441"/>
      <c r="X45" s="1441"/>
      <c r="Y45" s="1441"/>
      <c r="Z45" s="1441"/>
      <c r="AA45" s="1441"/>
      <c r="AB45" s="1441"/>
      <c r="AC45" s="1441"/>
      <c r="AD45" s="1441"/>
      <c r="AE45" s="1602" t="str">
        <f>IF(B45="","",COUNTIF(C45:P45,"&gt;0"))</f>
        <v/>
      </c>
      <c r="AF45" s="1439">
        <f>SUM(Q45:W45)</f>
        <v>0</v>
      </c>
      <c r="AG45" s="1439">
        <f>SUM(CQ45:CW45)</f>
        <v>0</v>
      </c>
      <c r="AH45" s="1438" t="str">
        <f ca="1">IF(AG45=0,"X",IF(AG45&lt;LARGE(AG$2:AG$70,1)/4,"NS",RAND()*0.00001+AF45/AG45))</f>
        <v>X</v>
      </c>
      <c r="AI45" s="1439">
        <f>SUM(X45:AD45)</f>
        <v>0</v>
      </c>
      <c r="AJ45" s="1439">
        <f>SUM(CX45:DD45)</f>
        <v>0</v>
      </c>
      <c r="AK45" s="1438" t="str">
        <f ca="1">IF(AJ45=0,"X",IF(AJ45&lt;LARGE(AJ$2:AJ$70,1)/4,"NS",RAND()*0.00001+AI45/AJ45))</f>
        <v>X</v>
      </c>
      <c r="AL45" s="1439">
        <f>SUM(Q45:AD45)</f>
        <v>0</v>
      </c>
      <c r="AM45" s="1439">
        <f>SUM(CQ45:DD45)</f>
        <v>0</v>
      </c>
      <c r="AN45" s="1438" t="str">
        <f ca="1">IF(AM45=0,"X",IF(AM45&lt;LARGE(AM$2:AM$70,1)/4,"NS",RAND()*0.00001+AL45/AM45))</f>
        <v>X</v>
      </c>
      <c r="AO45" s="1437">
        <f ca="1">IF(B45="",10,B45+RAND()*0.01)</f>
        <v>10</v>
      </c>
      <c r="AP45" s="1437" t="str">
        <f ca="1">IF(AND(C45="",J45=""),"e",IF(J45="",IF($BD$1&lt;=7,C45+RAND()*0.01,"e"),J45+RAND()*0.01))</f>
        <v>e</v>
      </c>
      <c r="AQ45" s="1437" t="str">
        <f ca="1">IF(AND(D45="",K45=""),"e",IF(K45="",IF($BD$1&lt;=7,D45+RAND()*0.01,"e"),K45+RAND()*0.01))</f>
        <v>e</v>
      </c>
      <c r="AR45" s="1437" t="str">
        <f ca="1">IF(AND(E45="",L45=""),"e",IF(L45="",IF($BD$1&lt;=7,E45+RAND()*0.01,"e"),L45+RAND()*0.01))</f>
        <v>e</v>
      </c>
      <c r="AS45" s="1437" t="str">
        <f ca="1">IF(AND(F45="",M45=""),"e",IF(M45="",IF($BD$1&lt;=7,F45+RAND()*0.01,"e"),M45+RAND()*0.01))</f>
        <v>e</v>
      </c>
      <c r="AT45" s="1437" t="str">
        <f ca="1">IF(AND(G45="",N45=""),"e",IF(N45="",IF($BD$1&lt;=7,G45+RAND()*0.01,"e"),N45+RAND()*0.01))</f>
        <v>e</v>
      </c>
      <c r="AU45" s="1437" t="str">
        <f ca="1">IF(AND(H45="",O45=""),"e",IF(O45="",IF($BD$1&lt;=7,H45+RAND()*0.01,"e"),O45+RAND()*0.01))</f>
        <v>e</v>
      </c>
      <c r="AV45" s="1437" t="str">
        <f ca="1">IF(AND(I45="",P45=""),"e",IF(P45="",IF($BD$1&lt;=7,I45+RAND()*0.01,"e"),P45+RAND()*0.01))</f>
        <v>e</v>
      </c>
      <c r="AW45" s="1437"/>
      <c r="AX45" s="1436" t="str">
        <f>A45</f>
        <v/>
      </c>
      <c r="AY45" s="1580" t="str">
        <f>IF(OR($H$2&gt;0,$H$3&gt;0,$H$4&gt;0,$H$5&gt;0,$H$6&gt;0,$H$7&gt;0,$H$8&gt;0,$H$2&gt;0),"",IF(COUNTIF(C45:H45,"")&gt;=5,"",IF(COUNTIF(C45:H45,SMALL(C45:H45,1))&gt;=2,SMALL(C45:H45,1),SMALL(C45:H45,2))))</f>
        <v/>
      </c>
      <c r="AZ45" s="1581" t="str">
        <f>IF(COUNTIF(J45:O45,"")&gt;=5,"",IF(COUNTIF(J45:O45,SMALL(J45:O45,1))&gt;=2,SMALL(J45:O45,1),SMALL(J45:O45,2)))</f>
        <v/>
      </c>
      <c r="BA45" s="1401"/>
      <c r="BB45" s="1600"/>
      <c r="BC45" s="1600"/>
      <c r="BD45" s="1600"/>
      <c r="BE45" s="1600"/>
      <c r="BF45" s="1600"/>
      <c r="BG45" s="1600"/>
      <c r="BH45" s="1600"/>
      <c r="BI45" s="1600"/>
      <c r="BJ45" s="1600"/>
      <c r="BK45" s="1600"/>
      <c r="BL45" s="1600"/>
      <c r="BM45" s="1600"/>
      <c r="BN45" s="1600"/>
      <c r="BO45" s="1600"/>
      <c r="BP45" s="1600"/>
      <c r="BQ45" s="1600"/>
      <c r="BR45" s="1600"/>
      <c r="BS45" s="1600"/>
      <c r="BT45" s="1600"/>
      <c r="BU45" s="1459"/>
      <c r="BV45" s="1401"/>
      <c r="BW45" s="1401"/>
      <c r="BX45" s="1401"/>
      <c r="BY45" s="561">
        <f ca="1">IF($BD$1&lt;=7,COUNTIF($C45:$I45,"1")+RAND()*0.0001,COUNTIF($J45:$P45,"1")+RAND()*0.0001)</f>
        <v>5.7854538281147727E-6</v>
      </c>
      <c r="BZ45" s="561" t="str">
        <f ca="1">IF(BY45&lt;1,"",AX45)</f>
        <v/>
      </c>
      <c r="CA45" s="561">
        <f ca="1">IF($BD$1&lt;=7,COUNTIF($C45:$I45,"2")+RAND()*0.0001,COUNTIF($J45:$P45,"2")+RAND()*0.0001)</f>
        <v>5.944963304513881E-5</v>
      </c>
      <c r="CB45" s="561" t="str">
        <f ca="1">IF(CA45&lt;1,"",AX45)</f>
        <v/>
      </c>
      <c r="CC45" s="561">
        <f ca="1">IF($BD$1&lt;=7,COUNTIF($C45:$I45,"3")+RAND()*0.0001,COUNTIF($J45:$P45,"3")+RAND()*0.0001)</f>
        <v>4.7647117230395367E-5</v>
      </c>
      <c r="CD45" s="561" t="str">
        <f ca="1">IF(CC45&lt;1,"",AX45)</f>
        <v/>
      </c>
      <c r="CE45" s="561">
        <f ca="1">IF($BD$1&lt;=7,COUNTIF($C45:$I45,"4")+RAND()*0.0001,COUNTIF($J45:$P45,"4")+RAND()*0.0001)</f>
        <v>2.060830084412053E-5</v>
      </c>
      <c r="CF45" s="561" t="str">
        <f ca="1">IF(CE45&lt;1,"",AX45)</f>
        <v/>
      </c>
      <c r="CG45" s="561">
        <f ca="1">IF($BD$1&lt;=7,COUNTIF($C45:$I45,"5")+RAND()*0.0001,COUNTIF($J45:$P45,"5")+RAND()*0.0001)</f>
        <v>8.279751846716975E-5</v>
      </c>
      <c r="CH45" s="561" t="str">
        <f ca="1">IF(CG45&lt;1,"",AX45)</f>
        <v/>
      </c>
      <c r="CI45" s="561">
        <f ca="1">IF($BD$1&lt;=7,COUNTIF($C45:$I45,"6")+RAND()*0.0001,COUNTIF($J45:$P45,"6")+RAND()*0.0001)</f>
        <v>5.5807585953333444E-5</v>
      </c>
      <c r="CJ45" s="561" t="str">
        <f ca="1">IF(CI45&lt;1,"",AX45)</f>
        <v/>
      </c>
      <c r="CK45" s="561">
        <f ca="1">IF($BD$1&lt;=7,COUNTIF($C45:$I45,"7")+RAND()*0.0001,COUNTIF($J45:$P45,"7")+RAND()*0.0001)</f>
        <v>8.0498621265546672E-5</v>
      </c>
      <c r="CL45" s="561" t="str">
        <f ca="1">IF(CK45&lt;1,"",AX45)</f>
        <v/>
      </c>
      <c r="CM45" s="561">
        <f ca="1">IF($BD$1&lt;=7,COUNTIF($C45:$I45,"8")+RAND()*0.0001,COUNTIF($J45:$P45,"8")+RAND()*0.0001)</f>
        <v>4.643785078251741E-5</v>
      </c>
      <c r="CN45" s="561" t="str">
        <f ca="1">IF(CM45&lt;1,"",AX45)</f>
        <v/>
      </c>
      <c r="CO45" s="1401"/>
      <c r="CP45" s="1401" t="e">
        <f ca="1">AE45+RAND()*0.01</f>
        <v>#VALUE!</v>
      </c>
      <c r="CQ45" s="1433">
        <f>VLOOKUP(C45,$CO$2:$DF$11,18,FALSE)</f>
        <v>0</v>
      </c>
      <c r="CR45" s="1433">
        <f>VLOOKUP(D45,$CO$2:$DF$11,18,FALSE)</f>
        <v>0</v>
      </c>
      <c r="CS45" s="1433">
        <f>VLOOKUP(E45,$CO$2:$DF$11,18,FALSE)</f>
        <v>0</v>
      </c>
      <c r="CT45" s="1433">
        <f>VLOOKUP(F45,$CO$2:$DF$11,18,FALSE)</f>
        <v>0</v>
      </c>
      <c r="CU45" s="1433">
        <f>VLOOKUP(G45,$CO$2:$DF$11,18,FALSE)</f>
        <v>0</v>
      </c>
      <c r="CV45" s="1433">
        <f>VLOOKUP(H45,$CO$2:$DF$11,18,FALSE)</f>
        <v>0</v>
      </c>
      <c r="CW45" s="1433">
        <f>VLOOKUP(I45,$CO$2:$DF$11,18,FALSE)</f>
        <v>0</v>
      </c>
      <c r="CX45" s="1433">
        <f>VLOOKUP(J45,$CO$2:$DF$11,18,FALSE)</f>
        <v>0</v>
      </c>
      <c r="CY45" s="1433">
        <f>VLOOKUP(K45,$CO$2:$DF$11,18,FALSE)</f>
        <v>0</v>
      </c>
      <c r="CZ45" s="1433">
        <f>VLOOKUP(L45,$CO$2:$DF$11,18,FALSE)</f>
        <v>0</v>
      </c>
      <c r="DA45" s="1433">
        <f>VLOOKUP(M45,$CO$2:$DF$11,18,FALSE)</f>
        <v>0</v>
      </c>
      <c r="DB45" s="1433">
        <f>VLOOKUP(N45,$CO$2:$DF$11,18,FALSE)</f>
        <v>0</v>
      </c>
      <c r="DC45" s="1433">
        <f>VLOOKUP(O45,$CO$2:$DF$11,18,FALSE)</f>
        <v>0</v>
      </c>
      <c r="DD45" s="1433">
        <f>VLOOKUP(P45,$CO$2:$DF$11,18,FALSE)</f>
        <v>0</v>
      </c>
      <c r="DE45" s="1432">
        <f>IF(AND(DI45=0,A45=""),AL45,IF(DI45=0,AL45+VLOOKUP(AX45,[10]Critérium!$AC$49:$DE$100,81,FALSE),AL45+VLOOKUP(AX45,[10]Critérium!$B$6:$T$22,19,FALSE)+VLOOKUP(AX45,[10]Critérium!$AC$49:$DE$100,81,FALSE)))</f>
        <v>0</v>
      </c>
      <c r="DF45" s="1431"/>
      <c r="DG45" s="1429">
        <f>IF(AND(DI45=0,A45=""),AM45,IF(DI45=0,AM45+VLOOKUP(AX45,[10]Critérium!$AC$49:$DH$100,84,FALSE),AM45+VLOOKUP(AX45,[10]Critérium!$B$6:$V$22,21,FALSE)+VLOOKUP(AX45,[10]Critérium!$AC$49:$DH$100,84,FALSE)))</f>
        <v>0</v>
      </c>
      <c r="DH45" s="1430">
        <f ca="1">IF(DG45=0,0,(DE45/DG45+RAND()*0.0001))</f>
        <v>0</v>
      </c>
      <c r="DI45" s="1429">
        <f>VLOOKUP(AX45,[10]liste!AN:AR,5,FALSE)</f>
        <v>0</v>
      </c>
      <c r="DJ45" s="1427">
        <f ca="1">DG45+RAND()</f>
        <v>0.33467947076837967</v>
      </c>
      <c r="DK45" s="1427" t="str">
        <f>A45</f>
        <v/>
      </c>
      <c r="DL45" s="1427"/>
      <c r="DM45" s="1428">
        <f>HLOOKUP($DM$1,$C$1:$P$70,45,FALSE)</f>
        <v>0</v>
      </c>
      <c r="DN45" s="1428">
        <f>HLOOKUP($DN$1,$Q$1:$AD$70,45,FALSE)</f>
        <v>0</v>
      </c>
      <c r="DO45" s="1401"/>
      <c r="DP45" s="1401"/>
      <c r="DQ45" s="1401"/>
      <c r="DR45" s="1400">
        <f>IF(SUM(C45:P45)=0,0,(AE45*10/SUM(C45:P45)/2)*AE45/21)</f>
        <v>0</v>
      </c>
      <c r="DS45" s="1427"/>
      <c r="DT45" s="1427"/>
      <c r="DU45" s="1427"/>
      <c r="DV45" s="1427"/>
      <c r="DW45" s="1427"/>
      <c r="DX45" s="1427"/>
      <c r="DY45" s="1427"/>
      <c r="DZ45" s="1427"/>
      <c r="EA45" s="1427"/>
      <c r="EB45" s="1427"/>
      <c r="EC45" s="1427"/>
      <c r="ED45" s="1427"/>
      <c r="EE45" s="1427"/>
      <c r="EF45" s="1427"/>
      <c r="EG45" s="1427"/>
      <c r="EH45" s="1427"/>
      <c r="EI45" s="1427"/>
      <c r="EJ45" s="1427"/>
      <c r="EK45" s="1427"/>
      <c r="EL45" s="1427"/>
      <c r="EM45" s="1427"/>
      <c r="EN45" s="1427"/>
      <c r="EO45" s="1427"/>
      <c r="EP45" s="1427"/>
      <c r="EQ45" s="1427"/>
      <c r="ER45" s="1427"/>
      <c r="ES45" s="1427"/>
      <c r="ET45" s="1427"/>
      <c r="EU45" s="1427"/>
      <c r="EV45" s="1427"/>
      <c r="EW45" s="1427"/>
      <c r="EX45" s="1427"/>
      <c r="EY45" s="1427"/>
      <c r="EZ45" s="1427"/>
      <c r="FA45" s="1427"/>
      <c r="FB45" s="1427"/>
      <c r="FC45" s="1427"/>
      <c r="FD45" s="1427"/>
      <c r="FE45" s="1427"/>
      <c r="FF45" s="1427"/>
      <c r="FG45" s="1427"/>
      <c r="FH45" s="1427"/>
      <c r="FI45" s="1427"/>
      <c r="FJ45" s="1427"/>
      <c r="FK45" s="1427"/>
      <c r="FL45" s="1427"/>
      <c r="FM45" s="1427"/>
      <c r="FN45" s="1427"/>
      <c r="FO45" s="1427"/>
      <c r="FP45" s="1427"/>
      <c r="FQ45" s="1427"/>
    </row>
    <row r="46" spans="1:173" s="1426" customFormat="1" ht="21.95" customHeight="1">
      <c r="A46" s="1443" t="str">
        <f>[10]points!B60</f>
        <v/>
      </c>
      <c r="B46" s="1442" t="str">
        <f>IF(A46="","",VLOOKUP(A46,[10]liste!AN:AQ,4,FALSE))</f>
        <v/>
      </c>
      <c r="C46" s="1441"/>
      <c r="D46" s="1441"/>
      <c r="E46" s="1441"/>
      <c r="F46" s="1441"/>
      <c r="G46" s="1441"/>
      <c r="H46" s="1441"/>
      <c r="I46" s="1441"/>
      <c r="J46" s="1441"/>
      <c r="K46" s="1441"/>
      <c r="L46" s="1441"/>
      <c r="M46" s="1441"/>
      <c r="N46" s="1441"/>
      <c r="O46" s="1441"/>
      <c r="P46" s="1441"/>
      <c r="Q46" s="1441"/>
      <c r="R46" s="1441"/>
      <c r="S46" s="1441"/>
      <c r="T46" s="1441"/>
      <c r="U46" s="1441"/>
      <c r="V46" s="1441"/>
      <c r="W46" s="1441"/>
      <c r="X46" s="1441"/>
      <c r="Y46" s="1441"/>
      <c r="Z46" s="1441"/>
      <c r="AA46" s="1441"/>
      <c r="AB46" s="1441"/>
      <c r="AC46" s="1441"/>
      <c r="AD46" s="1441"/>
      <c r="AE46" s="1535" t="str">
        <f>IF(B46="","",COUNTIF(C46:P46,"&gt;0"))</f>
        <v/>
      </c>
      <c r="AF46" s="1439">
        <f>SUM(Q46:W46)</f>
        <v>0</v>
      </c>
      <c r="AG46" s="1439">
        <f>SUM(CQ46:CW46)</f>
        <v>0</v>
      </c>
      <c r="AH46" s="1438" t="str">
        <f ca="1">IF(AG46=0,"X",IF(AG46&lt;LARGE(AG$2:AG$70,1)/4,"NS",RAND()*0.00001+AF46/AG46))</f>
        <v>X</v>
      </c>
      <c r="AI46" s="1439">
        <f>SUM(X46:AD46)</f>
        <v>0</v>
      </c>
      <c r="AJ46" s="1439">
        <f>SUM(CX46:DD46)</f>
        <v>0</v>
      </c>
      <c r="AK46" s="1438" t="str">
        <f ca="1">IF(AJ46=0,"X",IF(AJ46&lt;LARGE(AJ$2:AJ$70,1)/4,"NS",RAND()*0.00001+AI46/AJ46))</f>
        <v>X</v>
      </c>
      <c r="AL46" s="1439">
        <f>SUM(Q46:AD46)</f>
        <v>0</v>
      </c>
      <c r="AM46" s="1439">
        <f>SUM(CQ46:DD46)</f>
        <v>0</v>
      </c>
      <c r="AN46" s="1438" t="str">
        <f ca="1">IF(AM46=0,"X",IF(AM46&lt;LARGE(AM$2:AM$70,1)/4,"NS",RAND()*0.00001+AL46/AM46))</f>
        <v>X</v>
      </c>
      <c r="AO46" s="1437">
        <f ca="1">IF(B46="",10,B46+RAND()*0.01)</f>
        <v>10</v>
      </c>
      <c r="AP46" s="1437" t="str">
        <f ca="1">IF(AND(C46="",J46=""),"e",IF(J46="",IF($BD$1&lt;=7,C46+RAND()*0.01,"e"),J46+RAND()*0.01))</f>
        <v>e</v>
      </c>
      <c r="AQ46" s="1437" t="str">
        <f ca="1">IF(AND(D46="",K46=""),"e",IF(K46="",IF($BD$1&lt;=7,D46+RAND()*0.01,"e"),K46+RAND()*0.01))</f>
        <v>e</v>
      </c>
      <c r="AR46" s="1437" t="str">
        <f ca="1">IF(AND(E46="",L46=""),"e",IF(L46="",IF($BD$1&lt;=7,E46+RAND()*0.01,"e"),L46+RAND()*0.01))</f>
        <v>e</v>
      </c>
      <c r="AS46" s="1437" t="str">
        <f ca="1">IF(AND(F46="",M46=""),"e",IF(M46="",IF($BD$1&lt;=7,F46+RAND()*0.01,"e"),M46+RAND()*0.01))</f>
        <v>e</v>
      </c>
      <c r="AT46" s="1437" t="str">
        <f ca="1">IF(AND(G46="",N46=""),"e",IF(N46="",IF($BD$1&lt;=7,G46+RAND()*0.01,"e"),N46+RAND()*0.01))</f>
        <v>e</v>
      </c>
      <c r="AU46" s="1437" t="str">
        <f ca="1">IF(AND(H46="",O46=""),"e",IF(O46="",IF($BD$1&lt;=7,H46+RAND()*0.01,"e"),O46+RAND()*0.01))</f>
        <v>e</v>
      </c>
      <c r="AV46" s="1437" t="str">
        <f ca="1">IF(AND(I46="",P46=""),"e",IF(P46="",IF($BD$1&lt;=7,I46+RAND()*0.01,"e"),P46+RAND()*0.01))</f>
        <v>e</v>
      </c>
      <c r="AW46" s="1437"/>
      <c r="AX46" s="1436" t="str">
        <f>A46</f>
        <v/>
      </c>
      <c r="AY46" s="1580" t="str">
        <f>IF(OR($H$2&gt;0,$H$3&gt;0,$H$4&gt;0,$H$5&gt;0,$H$6&gt;0,$H$7&gt;0,$H$8&gt;0,$H$2&gt;0),"",IF(COUNTIF(C46:H46,"")&gt;=5,"",IF(COUNTIF(C46:H46,SMALL(C46:H46,1))&gt;=2,SMALL(C46:H46,1),SMALL(C46:H46,2))))</f>
        <v/>
      </c>
      <c r="AZ46" s="1581" t="str">
        <f>IF(COUNTIF(J46:O46,"")&gt;=5,"",IF(COUNTIF(J46:O46,SMALL(J46:O46,1))&gt;=2,SMALL(J46:O46,1),SMALL(J46:O46,2)))</f>
        <v/>
      </c>
      <c r="BA46" s="1401"/>
      <c r="BB46" s="1401"/>
      <c r="BC46" s="1444"/>
      <c r="BD46" s="1444"/>
      <c r="BE46" s="1444"/>
      <c r="BF46" s="1444"/>
      <c r="BG46" s="1444"/>
      <c r="BH46" s="1444"/>
      <c r="BI46" s="1444"/>
      <c r="BJ46" s="1444"/>
      <c r="BK46" s="1444"/>
      <c r="BL46" s="1444"/>
      <c r="BM46" s="1444"/>
      <c r="BN46" s="1444"/>
      <c r="BO46" s="1444"/>
      <c r="BP46" s="1444"/>
      <c r="BQ46" s="1444"/>
      <c r="BR46" s="1444"/>
      <c r="BS46" s="1444"/>
      <c r="BT46" s="1444"/>
      <c r="BU46" s="1459"/>
      <c r="BV46" s="1401"/>
      <c r="BW46" s="1401"/>
      <c r="BX46" s="1401"/>
      <c r="BY46" s="561">
        <f ca="1">IF($BD$1&lt;=7,COUNTIF($C46:$I46,"1")+RAND()*0.0001,COUNTIF($J46:$P46,"1")+RAND()*0.0001)</f>
        <v>8.5159171515337485E-5</v>
      </c>
      <c r="BZ46" s="561" t="str">
        <f ca="1">IF(BY46&lt;1,"",AX46)</f>
        <v/>
      </c>
      <c r="CA46" s="561">
        <f ca="1">IF($BD$1&lt;=7,COUNTIF($C46:$I46,"2")+RAND()*0.0001,COUNTIF($J46:$P46,"2")+RAND()*0.0001)</f>
        <v>4.7983716935982401E-5</v>
      </c>
      <c r="CB46" s="561" t="str">
        <f ca="1">IF(CA46&lt;1,"",AX46)</f>
        <v/>
      </c>
      <c r="CC46" s="561">
        <f ca="1">IF($BD$1&lt;=7,COUNTIF($C46:$I46,"3")+RAND()*0.0001,COUNTIF($J46:$P46,"3")+RAND()*0.0001)</f>
        <v>1.937717270402034E-5</v>
      </c>
      <c r="CD46" s="561" t="str">
        <f ca="1">IF(CC46&lt;1,"",AX46)</f>
        <v/>
      </c>
      <c r="CE46" s="561">
        <f ca="1">IF($BD$1&lt;=7,COUNTIF($C46:$I46,"4")+RAND()*0.0001,COUNTIF($J46:$P46,"4")+RAND()*0.0001)</f>
        <v>9.1039616546040791E-5</v>
      </c>
      <c r="CF46" s="561" t="str">
        <f ca="1">IF(CE46&lt;1,"",AX46)</f>
        <v/>
      </c>
      <c r="CG46" s="561">
        <f ca="1">IF($BD$1&lt;=7,COUNTIF($C46:$I46,"5")+RAND()*0.0001,COUNTIF($J46:$P46,"5")+RAND()*0.0001)</f>
        <v>8.9164576205781075E-5</v>
      </c>
      <c r="CH46" s="561" t="str">
        <f ca="1">IF(CG46&lt;1,"",AX46)</f>
        <v/>
      </c>
      <c r="CI46" s="561">
        <f ca="1">IF($BD$1&lt;=7,COUNTIF($C46:$I46,"6")+RAND()*0.0001,COUNTIF($J46:$P46,"6")+RAND()*0.0001)</f>
        <v>3.5050723743329669E-5</v>
      </c>
      <c r="CJ46" s="561" t="str">
        <f ca="1">IF(CI46&lt;1,"",AX46)</f>
        <v/>
      </c>
      <c r="CK46" s="561">
        <f ca="1">IF($BD$1&lt;=7,COUNTIF($C46:$I46,"7")+RAND()*0.0001,COUNTIF($J46:$P46,"7")+RAND()*0.0001)</f>
        <v>7.7691665746910832E-5</v>
      </c>
      <c r="CL46" s="561" t="str">
        <f ca="1">IF(CK46&lt;1,"",AX46)</f>
        <v/>
      </c>
      <c r="CM46" s="561">
        <f ca="1">IF($BD$1&lt;=7,COUNTIF($C46:$I46,"8")+RAND()*0.0001,COUNTIF($J46:$P46,"8")+RAND()*0.0001)</f>
        <v>2.6868325455690224E-5</v>
      </c>
      <c r="CN46" s="561" t="str">
        <f ca="1">IF(CM46&lt;1,"",AX46)</f>
        <v/>
      </c>
      <c r="CO46" s="1401"/>
      <c r="CP46" s="1401" t="e">
        <f ca="1">AE46+RAND()*0.01</f>
        <v>#VALUE!</v>
      </c>
      <c r="CQ46" s="1433">
        <f>VLOOKUP(C46,$CO$2:$DF$11,18,FALSE)</f>
        <v>0</v>
      </c>
      <c r="CR46" s="1433">
        <f>VLOOKUP(D46,$CO$2:$DF$11,18,FALSE)</f>
        <v>0</v>
      </c>
      <c r="CS46" s="1433">
        <f>VLOOKUP(E46,$CO$2:$DF$11,18,FALSE)</f>
        <v>0</v>
      </c>
      <c r="CT46" s="1433">
        <f>VLOOKUP(F46,$CO$2:$DF$11,18,FALSE)</f>
        <v>0</v>
      </c>
      <c r="CU46" s="1433">
        <f>VLOOKUP(G46,$CO$2:$DF$11,18,FALSE)</f>
        <v>0</v>
      </c>
      <c r="CV46" s="1433">
        <f>VLOOKUP(H46,$CO$2:$DF$11,18,FALSE)</f>
        <v>0</v>
      </c>
      <c r="CW46" s="1433">
        <f>VLOOKUP(I46,$CO$2:$DF$11,18,FALSE)</f>
        <v>0</v>
      </c>
      <c r="CX46" s="1433">
        <f>VLOOKUP(J46,$CO$2:$DF$11,18,FALSE)</f>
        <v>0</v>
      </c>
      <c r="CY46" s="1433">
        <f>VLOOKUP(K46,$CO$2:$DF$11,18,FALSE)</f>
        <v>0</v>
      </c>
      <c r="CZ46" s="1433">
        <f>VLOOKUP(L46,$CO$2:$DF$11,18,FALSE)</f>
        <v>0</v>
      </c>
      <c r="DA46" s="1433">
        <f>VLOOKUP(M46,$CO$2:$DF$11,18,FALSE)</f>
        <v>0</v>
      </c>
      <c r="DB46" s="1433">
        <f>VLOOKUP(N46,$CO$2:$DF$11,18,FALSE)</f>
        <v>0</v>
      </c>
      <c r="DC46" s="1433">
        <f>VLOOKUP(O46,$CO$2:$DF$11,18,FALSE)</f>
        <v>0</v>
      </c>
      <c r="DD46" s="1433">
        <f>VLOOKUP(P46,$CO$2:$DF$11,18,FALSE)</f>
        <v>0</v>
      </c>
      <c r="DE46" s="1432">
        <f>IF(AND(DI46=0,A46=""),AL46,IF(DI46=0,AL46+VLOOKUP(AX46,[10]Critérium!$AC$49:$DE$100,81,FALSE),AL46+VLOOKUP(AX46,[10]Critérium!$B$6:$T$22,19,FALSE)+VLOOKUP(AX46,[10]Critérium!$AC$49:$DE$100,81,FALSE)))</f>
        <v>0</v>
      </c>
      <c r="DF46" s="1431"/>
      <c r="DG46" s="1429">
        <f>IF(AND(DI46=0,A46=""),AM46,IF(DI46=0,AM46+VLOOKUP(AX46,[10]Critérium!$AC$49:$DH$100,84,FALSE),AM46+VLOOKUP(AX46,[10]Critérium!$B$6:$V$22,21,FALSE)+VLOOKUP(AX46,[10]Critérium!$AC$49:$DH$100,84,FALSE)))</f>
        <v>0</v>
      </c>
      <c r="DH46" s="1430">
        <f ca="1">IF(DG46=0,0,(DE46/DG46+RAND()*0.0001))</f>
        <v>0</v>
      </c>
      <c r="DI46" s="1429">
        <f>VLOOKUP(AX46,[10]liste!AN:AR,5,FALSE)</f>
        <v>0</v>
      </c>
      <c r="DJ46" s="1427">
        <f ca="1">DG46+RAND()</f>
        <v>0.40417055950816461</v>
      </c>
      <c r="DK46" s="1427" t="str">
        <f>A46</f>
        <v/>
      </c>
      <c r="DL46" s="1427"/>
      <c r="DM46" s="1428">
        <f>HLOOKUP($DM$1,$C$1:$P$70,46,FALSE)</f>
        <v>0</v>
      </c>
      <c r="DN46" s="1428">
        <f>HLOOKUP($DN$1,$Q$1:$AD$70,46,FALSE)</f>
        <v>0</v>
      </c>
      <c r="DO46" s="1401"/>
      <c r="DP46" s="1401"/>
      <c r="DQ46" s="1401"/>
      <c r="DR46" s="1400">
        <f>IF(SUM(C46:P46)=0,0,(AE46*10/SUM(C46:P46)/2)*AE46/21)</f>
        <v>0</v>
      </c>
      <c r="DS46" s="1427"/>
      <c r="DT46" s="1427"/>
      <c r="DU46" s="1427"/>
      <c r="DV46" s="1427"/>
      <c r="DW46" s="1427"/>
      <c r="DX46" s="1427"/>
      <c r="DY46" s="1427"/>
      <c r="DZ46" s="1427"/>
      <c r="EA46" s="1427"/>
      <c r="EB46" s="1427"/>
      <c r="EC46" s="1427"/>
      <c r="ED46" s="1427"/>
      <c r="EE46" s="1427"/>
      <c r="EF46" s="1427"/>
      <c r="EG46" s="1427"/>
      <c r="EH46" s="1427"/>
      <c r="EI46" s="1427"/>
      <c r="EJ46" s="1427"/>
      <c r="EK46" s="1427"/>
      <c r="EL46" s="1427"/>
      <c r="EM46" s="1427"/>
      <c r="EN46" s="1427"/>
      <c r="EO46" s="1427"/>
      <c r="EP46" s="1427"/>
      <c r="EQ46" s="1427"/>
      <c r="ER46" s="1427"/>
      <c r="ES46" s="1427"/>
      <c r="ET46" s="1427"/>
      <c r="EU46" s="1427"/>
      <c r="EV46" s="1427"/>
      <c r="EW46" s="1427"/>
      <c r="EX46" s="1427"/>
      <c r="EY46" s="1427"/>
      <c r="EZ46" s="1427"/>
      <c r="FA46" s="1427"/>
      <c r="FB46" s="1427"/>
      <c r="FC46" s="1427"/>
      <c r="FD46" s="1427"/>
      <c r="FE46" s="1427"/>
      <c r="FF46" s="1427"/>
      <c r="FG46" s="1427"/>
      <c r="FH46" s="1427"/>
      <c r="FI46" s="1427"/>
      <c r="FJ46" s="1427"/>
      <c r="FK46" s="1427"/>
      <c r="FL46" s="1427"/>
      <c r="FM46" s="1427"/>
      <c r="FN46" s="1427"/>
      <c r="FO46" s="1427"/>
      <c r="FP46" s="1427"/>
      <c r="FQ46" s="1427"/>
    </row>
    <row r="47" spans="1:173" s="1426" customFormat="1" ht="21.95" customHeight="1">
      <c r="A47" s="1443" t="str">
        <f>[10]points!B61</f>
        <v/>
      </c>
      <c r="B47" s="1442" t="str">
        <f>IF(A47="","",VLOOKUP(A47,[10]liste!AN:AQ,4,FALSE))</f>
        <v/>
      </c>
      <c r="C47" s="1441"/>
      <c r="D47" s="1441"/>
      <c r="E47" s="1441"/>
      <c r="F47" s="1441"/>
      <c r="G47" s="1441"/>
      <c r="H47" s="1441"/>
      <c r="I47" s="1441"/>
      <c r="J47" s="1441"/>
      <c r="K47" s="1441"/>
      <c r="L47" s="1441"/>
      <c r="M47" s="1441"/>
      <c r="N47" s="1441"/>
      <c r="O47" s="1441"/>
      <c r="P47" s="1441"/>
      <c r="Q47" s="1441"/>
      <c r="R47" s="1441"/>
      <c r="S47" s="1441"/>
      <c r="T47" s="1441"/>
      <c r="U47" s="1441"/>
      <c r="V47" s="1441"/>
      <c r="W47" s="1441"/>
      <c r="X47" s="1441"/>
      <c r="Y47" s="1441"/>
      <c r="Z47" s="1441"/>
      <c r="AA47" s="1441"/>
      <c r="AB47" s="1441"/>
      <c r="AC47" s="1441"/>
      <c r="AD47" s="1441"/>
      <c r="AE47" s="1458" t="str">
        <f>IF(B47="","",COUNTIF(C47:P47,"&gt;0"))</f>
        <v/>
      </c>
      <c r="AF47" s="1439">
        <f>SUM(Q47:W47)</f>
        <v>0</v>
      </c>
      <c r="AG47" s="1439">
        <f>SUM(CQ47:CW47)</f>
        <v>0</v>
      </c>
      <c r="AH47" s="1438" t="str">
        <f ca="1">IF(AG47=0,"X",IF(AG47&lt;LARGE(AG$2:AG$70,1)/4,"NS",RAND()*0.00001+AF47/AG47))</f>
        <v>X</v>
      </c>
      <c r="AI47" s="1439">
        <f>SUM(X47:AD47)</f>
        <v>0</v>
      </c>
      <c r="AJ47" s="1439">
        <f>SUM(CX47:DD47)</f>
        <v>0</v>
      </c>
      <c r="AK47" s="1438" t="str">
        <f ca="1">IF(AJ47=0,"X",IF(AJ47&lt;LARGE(AJ$2:AJ$70,1)/4,"NS",RAND()*0.00001+AI47/AJ47))</f>
        <v>X</v>
      </c>
      <c r="AL47" s="1439">
        <f>SUM(Q47:AD47)</f>
        <v>0</v>
      </c>
      <c r="AM47" s="1439">
        <f>SUM(CQ47:DD47)</f>
        <v>0</v>
      </c>
      <c r="AN47" s="1438" t="str">
        <f>IF(CQ47+CR47+CS47+CT47+CU47+CV47+CW47+CX47+CY47+CZ47+DA47+DB47+DC47+DD47=0,"",MINVERSE(CQ47+CR47+CS47+CT47+CU47+CV47+CW47+CX47+CY47+CZ47+DA47+DB47+DC47+DD47)*AL47)</f>
        <v/>
      </c>
      <c r="AO47" s="1437">
        <f ca="1">IF(B47="",10,B47+RAND()*0.01)</f>
        <v>10</v>
      </c>
      <c r="AP47" s="1437" t="str">
        <f ca="1">IF(AND(C47="",J47=""),"e",IF(J47="",IF($BD$1&lt;=7,C47+RAND()*0.01,"e"),J47+RAND()*0.01))</f>
        <v>e</v>
      </c>
      <c r="AQ47" s="1437" t="str">
        <f ca="1">IF(AND(D47="",K47=""),"e",IF(K47="",IF($BD$1&lt;=7,D47+RAND()*0.01,"e"),K47+RAND()*0.01))</f>
        <v>e</v>
      </c>
      <c r="AR47" s="1437" t="str">
        <f ca="1">IF(AND(E47="",L47=""),"e",IF(L47="",IF($BD$1&lt;=7,E47+RAND()*0.01,"e"),L47+RAND()*0.01))</f>
        <v>e</v>
      </c>
      <c r="AS47" s="1437" t="str">
        <f ca="1">IF(AND(F47="",M47=""),"e",IF(M47="",IF($BD$1&lt;=7,F47+RAND()*0.01,"e"),M47+RAND()*0.01))</f>
        <v>e</v>
      </c>
      <c r="AT47" s="1437" t="str">
        <f ca="1">IF(AND(G47="",N47=""),"e",IF(N47="",IF($BD$1&lt;=7,G47+RAND()*0.01,"e"),N47+RAND()*0.01))</f>
        <v>e</v>
      </c>
      <c r="AU47" s="1437" t="str">
        <f ca="1">IF(AND(H47="",O47=""),"e",IF(O47="",IF($BD$1&lt;=7,H47+RAND()*0.01,"e"),O47+RAND()*0.01))</f>
        <v>e</v>
      </c>
      <c r="AV47" s="1437" t="str">
        <f ca="1">IF(AND(I47="",P47=""),"e",IF(P47="",IF($BD$1&lt;=7,I47+RAND()*0.01,"e"),P47+RAND()*0.01))</f>
        <v>e</v>
      </c>
      <c r="AW47" s="1437"/>
      <c r="AX47" s="1436" t="str">
        <f>A47</f>
        <v/>
      </c>
      <c r="AY47" s="1580" t="str">
        <f>IF(OR($H$2&gt;0,$H$3&gt;0,$H$4&gt;0,$H$5&gt;0,$H$6&gt;0,$H$7&gt;0,$H$8&gt;0,$H$2&gt;0),"",IF(COUNTIF(C47:H47,"")&gt;=5,"",IF(COUNTIF(C47:H47,SMALL(C47:H47,1))&gt;=2,SMALL(C47:H47,1),SMALL(C47:H47,2))))</f>
        <v/>
      </c>
      <c r="AZ47" s="1581" t="str">
        <f>IF(COUNTIF(J47:O47,"")&gt;=5,"",IF(COUNTIF(J47:O47,SMALL(J47:O47,1))&gt;=2,SMALL(J47:O47,1),SMALL(J47:O47,2)))</f>
        <v/>
      </c>
      <c r="BA47" s="1401"/>
      <c r="BB47" s="1401"/>
      <c r="BC47" s="1460" t="s">
        <v>745</v>
      </c>
      <c r="BD47" s="1460" t="s">
        <v>744</v>
      </c>
      <c r="BE47" s="1460" t="s">
        <v>743</v>
      </c>
      <c r="BF47" s="1460" t="s">
        <v>742</v>
      </c>
      <c r="BG47" s="1460" t="s">
        <v>741</v>
      </c>
      <c r="BH47" s="1401"/>
      <c r="BI47" s="1401"/>
      <c r="BJ47" s="1401"/>
      <c r="BK47" s="1401"/>
      <c r="BL47" s="1401"/>
      <c r="BM47" s="1401"/>
      <c r="BN47" s="1401"/>
      <c r="BO47" s="1401"/>
      <c r="BP47" s="1401"/>
      <c r="BQ47" s="1444"/>
      <c r="BR47" s="1444"/>
      <c r="BS47" s="1444"/>
      <c r="BT47" s="1444"/>
      <c r="BU47" s="1459"/>
      <c r="BV47" s="1401"/>
      <c r="BW47" s="1401"/>
      <c r="BX47" s="1401"/>
      <c r="BY47" s="561">
        <f ca="1">IF($BD$1&lt;=7,COUNTIF($C47:$I47,"1")+RAND()*0.0001,COUNTIF($J47:$P47,"1")+RAND()*0.0001)</f>
        <v>6.1860568768224E-5</v>
      </c>
      <c r="BZ47" s="561" t="str">
        <f ca="1">IF(BY47&lt;1,"",AX47)</f>
        <v/>
      </c>
      <c r="CA47" s="561">
        <f ca="1">IF($BD$1&lt;=7,COUNTIF($C47:$I47,"2")+RAND()*0.0001,COUNTIF($J47:$P47,"2")+RAND()*0.0001)</f>
        <v>5.5654780447420949E-5</v>
      </c>
      <c r="CB47" s="561" t="str">
        <f ca="1">IF(CA47&lt;1,"",AX47)</f>
        <v/>
      </c>
      <c r="CC47" s="561">
        <f ca="1">IF($BD$1&lt;=7,COUNTIF($C47:$I47,"3")+RAND()*0.0001,COUNTIF($J47:$P47,"3")+RAND()*0.0001)</f>
        <v>2.1928518542821309E-5</v>
      </c>
      <c r="CD47" s="561" t="str">
        <f ca="1">IF(CC47&lt;1,"",AX47)</f>
        <v/>
      </c>
      <c r="CE47" s="561">
        <f ca="1">IF($BD$1&lt;=7,COUNTIF($C47:$I47,"4")+RAND()*0.0001,COUNTIF($J47:$P47,"4")+RAND()*0.0001)</f>
        <v>2.1058215826773842E-5</v>
      </c>
      <c r="CF47" s="561" t="str">
        <f ca="1">IF(CE47&lt;1,"",AX47)</f>
        <v/>
      </c>
      <c r="CG47" s="561">
        <f ca="1">IF($BD$1&lt;=7,COUNTIF($C47:$I47,"5")+RAND()*0.0001,COUNTIF($J47:$P47,"5")+RAND()*0.0001)</f>
        <v>5.3388640694556E-5</v>
      </c>
      <c r="CH47" s="561" t="str">
        <f ca="1">IF(CG47&lt;1,"",AX47)</f>
        <v/>
      </c>
      <c r="CI47" s="561">
        <f ca="1">IF($BD$1&lt;=7,COUNTIF($C47:$I47,"6")+RAND()*0.0001,COUNTIF($J47:$P47,"6")+RAND()*0.0001)</f>
        <v>2.6233959300195322E-5</v>
      </c>
      <c r="CJ47" s="561" t="str">
        <f ca="1">IF(CI47&lt;1,"",AX47)</f>
        <v/>
      </c>
      <c r="CK47" s="561">
        <f ca="1">IF($BD$1&lt;=7,COUNTIF($C47:$I47,"7")+RAND()*0.0001,COUNTIF($J47:$P47,"7")+RAND()*0.0001)</f>
        <v>1.7862635780329318E-6</v>
      </c>
      <c r="CL47" s="561" t="str">
        <f ca="1">IF(CK47&lt;1,"",AX47)</f>
        <v/>
      </c>
      <c r="CM47" s="561">
        <f ca="1">IF($BD$1&lt;=7,COUNTIF($C47:$I47,"8")+RAND()*0.0001,COUNTIF($J47:$P47,"8")+RAND()*0.0001)</f>
        <v>1.8055994648283837E-5</v>
      </c>
      <c r="CN47" s="561" t="str">
        <f ca="1">IF(CM47&lt;1,"",AX47)</f>
        <v/>
      </c>
      <c r="CO47" s="1401"/>
      <c r="CP47" s="1401" t="e">
        <f ca="1">AE47+RAND()*0.01</f>
        <v>#VALUE!</v>
      </c>
      <c r="CQ47" s="1433">
        <f>VLOOKUP(C47,$CO$2:$DF$11,18,FALSE)</f>
        <v>0</v>
      </c>
      <c r="CR47" s="1433">
        <f>VLOOKUP(D47,$CO$2:$DF$11,18,FALSE)</f>
        <v>0</v>
      </c>
      <c r="CS47" s="1433">
        <f>VLOOKUP(E47,$CO$2:$DF$11,18,FALSE)</f>
        <v>0</v>
      </c>
      <c r="CT47" s="1433">
        <f>VLOOKUP(F47,$CO$2:$DF$11,18,FALSE)</f>
        <v>0</v>
      </c>
      <c r="CU47" s="1433">
        <f>VLOOKUP(G47,$CO$2:$DF$11,18,FALSE)</f>
        <v>0</v>
      </c>
      <c r="CV47" s="1433">
        <f>VLOOKUP(H47,$CO$2:$DF$11,18,FALSE)</f>
        <v>0</v>
      </c>
      <c r="CW47" s="1433">
        <f>VLOOKUP(I47,$CO$2:$DF$11,18,FALSE)</f>
        <v>0</v>
      </c>
      <c r="CX47" s="1433">
        <f>VLOOKUP(J47,$CO$2:$DF$11,18,FALSE)</f>
        <v>0</v>
      </c>
      <c r="CY47" s="1433">
        <f>VLOOKUP(K47,$CO$2:$DF$11,18,FALSE)</f>
        <v>0</v>
      </c>
      <c r="CZ47" s="1433">
        <f>VLOOKUP(L47,$CO$2:$DF$11,18,FALSE)</f>
        <v>0</v>
      </c>
      <c r="DA47" s="1433">
        <f>VLOOKUP(M47,$CO$2:$DF$11,18,FALSE)</f>
        <v>0</v>
      </c>
      <c r="DB47" s="1433">
        <f>VLOOKUP(N47,$CO$2:$DF$11,18,FALSE)</f>
        <v>0</v>
      </c>
      <c r="DC47" s="1433">
        <f>VLOOKUP(O47,$CO$2:$DF$11,18,FALSE)</f>
        <v>0</v>
      </c>
      <c r="DD47" s="1433">
        <f>VLOOKUP(P47,$CO$2:$DF$11,18,FALSE)</f>
        <v>0</v>
      </c>
      <c r="DE47" s="1432">
        <f>IF(AND(DI47=0,A47=""),AL47,IF(DI47=0,AL47+VLOOKUP(AX47,[10]Critérium!$AC$49:$DE$100,81,FALSE),AL47+VLOOKUP(AX47,[10]Critérium!$B$6:$T$22,19,FALSE)+VLOOKUP(AX47,[10]Critérium!$AC$49:$DE$100,81,FALSE)))</f>
        <v>0</v>
      </c>
      <c r="DF47" s="1431"/>
      <c r="DG47" s="1429">
        <f>IF(AND(DI47=0,A47=""),AM47,IF(DI47=0,AM47+VLOOKUP(AX47,[10]Critérium!$AC$49:$DH$100,84,FALSE),AM47+VLOOKUP(AX47,[10]Critérium!$B$6:$V$22,21,FALSE)+VLOOKUP(AX47,[10]Critérium!$AC$49:$DH$100,84,FALSE)))</f>
        <v>0</v>
      </c>
      <c r="DH47" s="1430">
        <f ca="1">IF(DG47=0,0,(DE47/DG47+RAND()*0.0001))</f>
        <v>0</v>
      </c>
      <c r="DI47" s="1429">
        <f>VLOOKUP(AX47,[10]liste!AN:AR,5,FALSE)</f>
        <v>0</v>
      </c>
      <c r="DJ47" s="1427">
        <f ca="1">DG47+RAND()</f>
        <v>0.42768740084960066</v>
      </c>
      <c r="DK47" s="1427" t="str">
        <f>A47</f>
        <v/>
      </c>
      <c r="DL47" s="1427"/>
      <c r="DM47" s="1428">
        <f>HLOOKUP($DM$1,$C$1:$P$70,47,FALSE)</f>
        <v>0</v>
      </c>
      <c r="DN47" s="1428">
        <f>HLOOKUP($DN$1,$Q$1:$AD$70,47,FALSE)</f>
        <v>0</v>
      </c>
      <c r="DO47" s="1401"/>
      <c r="DP47" s="1401"/>
      <c r="DQ47" s="1401"/>
      <c r="DR47" s="1400">
        <f>IF(SUM(C47:P47)=0,0,(AE47*10/SUM(C47:P47)/2)*AE47/21)</f>
        <v>0</v>
      </c>
      <c r="DS47" s="1427"/>
      <c r="DT47" s="1427"/>
      <c r="DU47" s="1427"/>
      <c r="DV47" s="1427"/>
      <c r="DW47" s="1427"/>
      <c r="DX47" s="1427"/>
      <c r="DY47" s="1427"/>
      <c r="DZ47" s="1427"/>
      <c r="EA47" s="1427"/>
      <c r="EB47" s="1427"/>
      <c r="EC47" s="1427"/>
      <c r="ED47" s="1427"/>
      <c r="EE47" s="1427"/>
      <c r="EF47" s="1427"/>
      <c r="EG47" s="1427"/>
      <c r="EH47" s="1427"/>
      <c r="EI47" s="1427"/>
      <c r="EJ47" s="1427"/>
      <c r="EK47" s="1427"/>
      <c r="EL47" s="1427"/>
      <c r="EM47" s="1427"/>
      <c r="EN47" s="1427"/>
      <c r="EO47" s="1427"/>
      <c r="EP47" s="1427"/>
      <c r="EQ47" s="1427"/>
      <c r="ER47" s="1427"/>
      <c r="ES47" s="1427"/>
      <c r="ET47" s="1427"/>
      <c r="EU47" s="1427"/>
      <c r="EV47" s="1427"/>
      <c r="EW47" s="1427"/>
      <c r="EX47" s="1427"/>
      <c r="EY47" s="1427"/>
      <c r="EZ47" s="1427"/>
      <c r="FA47" s="1427"/>
      <c r="FB47" s="1427"/>
      <c r="FC47" s="1427"/>
      <c r="FD47" s="1427"/>
      <c r="FE47" s="1427"/>
      <c r="FF47" s="1427"/>
      <c r="FG47" s="1427"/>
      <c r="FH47" s="1427"/>
      <c r="FI47" s="1427"/>
      <c r="FJ47" s="1427"/>
      <c r="FK47" s="1427"/>
      <c r="FL47" s="1427"/>
      <c r="FM47" s="1427"/>
      <c r="FN47" s="1427"/>
      <c r="FO47" s="1427"/>
      <c r="FP47" s="1427"/>
      <c r="FQ47" s="1427"/>
    </row>
    <row r="48" spans="1:173" s="1426" customFormat="1" ht="21.95" customHeight="1">
      <c r="A48" s="1443" t="str">
        <f>[10]points!B62</f>
        <v/>
      </c>
      <c r="B48" s="1442" t="str">
        <f>IF(A48="","",VLOOKUP(A48,[10]liste!AN:AQ,4,FALSE))</f>
        <v/>
      </c>
      <c r="C48" s="1441"/>
      <c r="D48" s="1441"/>
      <c r="E48" s="1441"/>
      <c r="F48" s="1441"/>
      <c r="G48" s="1441"/>
      <c r="H48" s="1441"/>
      <c r="I48" s="1441"/>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58" t="str">
        <f>IF(B48="","",COUNTIF(C48:P48,"&gt;0"))</f>
        <v/>
      </c>
      <c r="AF48" s="1439">
        <f>SUM(Q48:W48)</f>
        <v>0</v>
      </c>
      <c r="AG48" s="1439">
        <f>SUM(CQ48:CW48)</f>
        <v>0</v>
      </c>
      <c r="AH48" s="1438" t="str">
        <f ca="1">IF(AG48=0,"X",IF(AG48&lt;LARGE(AG$2:AG$70,1)/4,"NS",RAND()*0.00001+AF48/AG48))</f>
        <v>X</v>
      </c>
      <c r="AI48" s="1439">
        <f>SUM(X48:AD48)</f>
        <v>0</v>
      </c>
      <c r="AJ48" s="1439">
        <f>SUM(CX48:DD48)</f>
        <v>0</v>
      </c>
      <c r="AK48" s="1438" t="str">
        <f ca="1">IF(AJ48=0,"X",IF(AJ48&lt;LARGE(AJ$2:AJ$70,1)/4,"NS",RAND()*0.00001+AI48/AJ48))</f>
        <v>X</v>
      </c>
      <c r="AL48" s="1439">
        <f>SUM(Q48:AD48)</f>
        <v>0</v>
      </c>
      <c r="AM48" s="1439">
        <f>SUM(CQ48:DD48)</f>
        <v>0</v>
      </c>
      <c r="AN48" s="1438" t="str">
        <f>IF(CQ48+CR48+CS48+CT48+CU48+CV48+CW48+CX48+CY48+CZ48+DA48+DB48+DC48+DD48=0,"",MINVERSE(CQ48+CR48+CS48+CT48+CU48+CV48+CW48+CX48+CY48+CZ48+DA48+DB48+DC48+DD48)*AL48)</f>
        <v/>
      </c>
      <c r="AO48" s="1437">
        <f ca="1">IF(B48="",10,B48+RAND()*0.01)</f>
        <v>10</v>
      </c>
      <c r="AP48" s="1437" t="str">
        <f ca="1">IF(AND(C48="",J48=""),"e",IF(J48="",IF($BD$1&lt;=7,C48+RAND()*0.01,"e"),J48+RAND()*0.01))</f>
        <v>e</v>
      </c>
      <c r="AQ48" s="1437" t="str">
        <f ca="1">IF(AND(D48="",K48=""),"e",IF(K48="",IF($BD$1&lt;=7,D48+RAND()*0.01,"e"),K48+RAND()*0.01))</f>
        <v>e</v>
      </c>
      <c r="AR48" s="1437" t="str">
        <f ca="1">IF(AND(E48="",L48=""),"e",IF(L48="",IF($BD$1&lt;=7,E48+RAND()*0.01,"e"),L48+RAND()*0.01))</f>
        <v>e</v>
      </c>
      <c r="AS48" s="1437" t="str">
        <f ca="1">IF(AND(F48="",M48=""),"e",IF(M48="",IF($BD$1&lt;=7,F48+RAND()*0.01,"e"),M48+RAND()*0.01))</f>
        <v>e</v>
      </c>
      <c r="AT48" s="1437" t="str">
        <f ca="1">IF(AND(G48="",N48=""),"e",IF(N48="",IF($BD$1&lt;=7,G48+RAND()*0.01,"e"),N48+RAND()*0.01))</f>
        <v>e</v>
      </c>
      <c r="AU48" s="1437" t="str">
        <f ca="1">IF(AND(H48="",O48=""),"e",IF(O48="",IF($BD$1&lt;=7,H48+RAND()*0.01,"e"),O48+RAND()*0.01))</f>
        <v>e</v>
      </c>
      <c r="AV48" s="1437" t="str">
        <f ca="1">IF(AND(I48="",P48=""),"e",IF(P48="",IF($BD$1&lt;=7,I48+RAND()*0.01,"e"),P48+RAND()*0.01))</f>
        <v>e</v>
      </c>
      <c r="AW48" s="1437"/>
      <c r="AX48" s="1436" t="str">
        <f>A48</f>
        <v/>
      </c>
      <c r="AY48" s="1580" t="str">
        <f>IF(OR($H$2&gt;0,$H$3&gt;0,$H$4&gt;0,$H$5&gt;0,$H$6&gt;0,$H$7&gt;0,$H$8&gt;0,$H$2&gt;0),"",IF(COUNTIF(C48:H48,"")&gt;=5,"",IF(COUNTIF(C48:H48,SMALL(C48:H48,1))&gt;=2,SMALL(C48:H48,1),SMALL(C48:H48,2))))</f>
        <v/>
      </c>
      <c r="AZ48" s="1581" t="str">
        <f>IF(COUNTIF(J48:O48,"")&gt;=5,"",IF(COUNTIF(J48:O48,SMALL(J48:O48,1))&gt;=2,SMALL(J48:O48,1),SMALL(J48:O48,2)))</f>
        <v/>
      </c>
      <c r="BA48" s="1401"/>
      <c r="BB48" s="1401"/>
      <c r="BC48" s="1457" t="s">
        <v>740</v>
      </c>
      <c r="BD48" s="1450">
        <v>6</v>
      </c>
      <c r="BE48" s="1450">
        <v>-5</v>
      </c>
      <c r="BF48" s="1450">
        <v>6</v>
      </c>
      <c r="BG48" s="1449">
        <v>-5</v>
      </c>
      <c r="BH48" s="1456" t="s">
        <v>739</v>
      </c>
      <c r="BI48" s="1455"/>
      <c r="BJ48" s="1455"/>
      <c r="BK48" s="1455"/>
      <c r="BL48" s="1455"/>
      <c r="BM48" s="1455"/>
      <c r="BN48" s="1455"/>
      <c r="BO48" s="1455"/>
      <c r="BP48" s="1454"/>
      <c r="BQ48" s="1401"/>
      <c r="BR48" s="1401"/>
      <c r="BS48" s="1401"/>
      <c r="BT48" s="1401"/>
      <c r="BU48" s="1434"/>
      <c r="BV48" s="1401"/>
      <c r="BW48" s="1401"/>
      <c r="BX48" s="1401"/>
      <c r="BY48" s="561">
        <f ca="1">IF($BD$1&lt;=7,COUNTIF($C48:$I48,"1")+RAND()*0.0001,COUNTIF($J48:$P48,"1")+RAND()*0.0001)</f>
        <v>4.0839691738461162E-5</v>
      </c>
      <c r="BZ48" s="561" t="str">
        <f ca="1">IF(BY48&lt;1,"",AX48)</f>
        <v/>
      </c>
      <c r="CA48" s="561">
        <f ca="1">IF($BD$1&lt;=7,COUNTIF($C48:$I48,"2")+RAND()*0.0001,COUNTIF($J48:$P48,"2")+RAND()*0.0001)</f>
        <v>5.8726145592793125E-5</v>
      </c>
      <c r="CB48" s="561" t="str">
        <f ca="1">IF(CA48&lt;1,"",AX48)</f>
        <v/>
      </c>
      <c r="CC48" s="561">
        <f ca="1">IF($BD$1&lt;=7,COUNTIF($C48:$I48,"3")+RAND()*0.0001,COUNTIF($J48:$P48,"3")+RAND()*0.0001)</f>
        <v>1.8358211727570273E-5</v>
      </c>
      <c r="CD48" s="561" t="str">
        <f ca="1">IF(CC48&lt;1,"",AX48)</f>
        <v/>
      </c>
      <c r="CE48" s="561">
        <f ca="1">IF($BD$1&lt;=7,COUNTIF($C48:$I48,"4")+RAND()*0.0001,COUNTIF($J48:$P48,"4")+RAND()*0.0001)</f>
        <v>9.386378337034058E-5</v>
      </c>
      <c r="CF48" s="561" t="str">
        <f ca="1">IF(CE48&lt;1,"",AX48)</f>
        <v/>
      </c>
      <c r="CG48" s="561">
        <f ca="1">IF($BD$1&lt;=7,COUNTIF($C48:$I48,"5")+RAND()*0.0001,COUNTIF($J48:$P48,"5")+RAND()*0.0001)</f>
        <v>9.3255125683037221E-5</v>
      </c>
      <c r="CH48" s="561" t="str">
        <f ca="1">IF(CG48&lt;1,"",AX48)</f>
        <v/>
      </c>
      <c r="CI48" s="561">
        <f ca="1">IF($BD$1&lt;=7,COUNTIF($C48:$I48,"6")+RAND()*0.0001,COUNTIF($J48:$P48,"6")+RAND()*0.0001)</f>
        <v>4.2290845991570935E-5</v>
      </c>
      <c r="CJ48" s="561" t="str">
        <f ca="1">IF(CI48&lt;1,"",AX48)</f>
        <v/>
      </c>
      <c r="CK48" s="561">
        <f ca="1">IF($BD$1&lt;=7,COUNTIF($C48:$I48,"7")+RAND()*0.0001,COUNTIF($J48:$P48,"7")+RAND()*0.0001)</f>
        <v>6.3306970854358597E-5</v>
      </c>
      <c r="CL48" s="561" t="str">
        <f ca="1">IF(CK48&lt;1,"",AX48)</f>
        <v/>
      </c>
      <c r="CM48" s="561">
        <f ca="1">IF($BD$1&lt;=7,COUNTIF($C48:$I48,"8")+RAND()*0.0001,COUNTIF($J48:$P48,"8")+RAND()*0.0001)</f>
        <v>1.0547964291632151E-5</v>
      </c>
      <c r="CN48" s="561" t="str">
        <f ca="1">IF(CM48&lt;1,"",AX48)</f>
        <v/>
      </c>
      <c r="CO48" s="1401"/>
      <c r="CP48" s="1401" t="e">
        <f ca="1">AE48+RAND()*0.01</f>
        <v>#VALUE!</v>
      </c>
      <c r="CQ48" s="1433">
        <f>VLOOKUP(C48,$CO$2:$DF$11,18,FALSE)</f>
        <v>0</v>
      </c>
      <c r="CR48" s="1433">
        <f>VLOOKUP(D48,$CO$2:$DF$11,18,FALSE)</f>
        <v>0</v>
      </c>
      <c r="CS48" s="1433">
        <f>VLOOKUP(E48,$CO$2:$DF$11,18,FALSE)</f>
        <v>0</v>
      </c>
      <c r="CT48" s="1433">
        <f>VLOOKUP(F48,$CO$2:$DF$11,18,FALSE)</f>
        <v>0</v>
      </c>
      <c r="CU48" s="1433">
        <f>VLOOKUP(G48,$CO$2:$DF$11,18,FALSE)</f>
        <v>0</v>
      </c>
      <c r="CV48" s="1433">
        <f>VLOOKUP(H48,$CO$2:$DF$11,18,FALSE)</f>
        <v>0</v>
      </c>
      <c r="CW48" s="1433">
        <f>VLOOKUP(I48,$CO$2:$DF$11,18,FALSE)</f>
        <v>0</v>
      </c>
      <c r="CX48" s="1433">
        <f>VLOOKUP(J48,$CO$2:$DF$11,18,FALSE)</f>
        <v>0</v>
      </c>
      <c r="CY48" s="1433">
        <f>VLOOKUP(K48,$CO$2:$DF$11,18,FALSE)</f>
        <v>0</v>
      </c>
      <c r="CZ48" s="1433">
        <f>VLOOKUP(L48,$CO$2:$DF$11,18,FALSE)</f>
        <v>0</v>
      </c>
      <c r="DA48" s="1433">
        <f>VLOOKUP(M48,$CO$2:$DF$11,18,FALSE)</f>
        <v>0</v>
      </c>
      <c r="DB48" s="1433">
        <f>VLOOKUP(N48,$CO$2:$DF$11,18,FALSE)</f>
        <v>0</v>
      </c>
      <c r="DC48" s="1433">
        <f>VLOOKUP(O48,$CO$2:$DF$11,18,FALSE)</f>
        <v>0</v>
      </c>
      <c r="DD48" s="1433">
        <f>VLOOKUP(P48,$CO$2:$DF$11,18,FALSE)</f>
        <v>0</v>
      </c>
      <c r="DE48" s="1432">
        <f>IF(AND(DI48=0,A48=""),AL48,IF(DI48=0,AL48+VLOOKUP(AX48,[10]Critérium!$AC$49:$DE$100,81,FALSE),AL48+VLOOKUP(AX48,[10]Critérium!$B$6:$T$22,19,FALSE)+VLOOKUP(AX48,[10]Critérium!$AC$49:$DE$100,81,FALSE)))</f>
        <v>0</v>
      </c>
      <c r="DF48" s="1431"/>
      <c r="DG48" s="1429">
        <f>IF(AND(DI48=0,A48=""),AM48,IF(DI48=0,AM48+VLOOKUP(AX48,[10]Critérium!$AC$49:$DH$100,84,FALSE),AM48+VLOOKUP(AX48,[10]Critérium!$B$6:$V$22,21,FALSE)+VLOOKUP(AX48,[10]Critérium!$AC$49:$DH$100,84,FALSE)))</f>
        <v>0</v>
      </c>
      <c r="DH48" s="1430">
        <f ca="1">IF(DG48=0,0,(DE48/DG48+RAND()*0.0001))</f>
        <v>0</v>
      </c>
      <c r="DI48" s="1429">
        <f>VLOOKUP(AX48,[10]liste!AN:AR,5,FALSE)</f>
        <v>0</v>
      </c>
      <c r="DJ48" s="1427">
        <f ca="1">DG48+RAND()</f>
        <v>0.17777800295918489</v>
      </c>
      <c r="DK48" s="1427" t="str">
        <f>A48</f>
        <v/>
      </c>
      <c r="DL48" s="1427"/>
      <c r="DM48" s="1428">
        <f>HLOOKUP($DM$1,$C$1:$P$70,48,FALSE)</f>
        <v>0</v>
      </c>
      <c r="DN48" s="1428">
        <f>HLOOKUP($DN$1,$Q$1:$AD$70,48,FALSE)</f>
        <v>0</v>
      </c>
      <c r="DO48" s="1401"/>
      <c r="DP48" s="1401"/>
      <c r="DQ48" s="1401"/>
      <c r="DR48" s="1400">
        <f>IF(SUM(C48:P48)=0,0,(AE48*10/SUM(C48:P48)/2)*AE48/21)</f>
        <v>0</v>
      </c>
      <c r="DS48" s="1427"/>
      <c r="DT48" s="1427"/>
      <c r="DU48" s="1427"/>
      <c r="DV48" s="1427"/>
      <c r="DW48" s="1427"/>
      <c r="DX48" s="1427"/>
      <c r="DY48" s="1427"/>
      <c r="DZ48" s="1427"/>
      <c r="EA48" s="1427"/>
      <c r="EB48" s="1427"/>
      <c r="EC48" s="1427"/>
      <c r="ED48" s="1427"/>
      <c r="EE48" s="1427"/>
      <c r="EF48" s="1427"/>
      <c r="EG48" s="1427"/>
      <c r="EH48" s="1427"/>
      <c r="EI48" s="1427"/>
      <c r="EJ48" s="1427"/>
      <c r="EK48" s="1427"/>
      <c r="EL48" s="1427"/>
      <c r="EM48" s="1427"/>
      <c r="EN48" s="1427"/>
      <c r="EO48" s="1427"/>
      <c r="EP48" s="1427"/>
      <c r="EQ48" s="1427"/>
      <c r="ER48" s="1427"/>
      <c r="ES48" s="1427"/>
      <c r="ET48" s="1427"/>
      <c r="EU48" s="1427"/>
      <c r="EV48" s="1427"/>
      <c r="EW48" s="1427"/>
      <c r="EX48" s="1427"/>
      <c r="EY48" s="1427"/>
      <c r="EZ48" s="1427"/>
      <c r="FA48" s="1427"/>
      <c r="FB48" s="1427"/>
      <c r="FC48" s="1427"/>
      <c r="FD48" s="1427"/>
      <c r="FE48" s="1427"/>
      <c r="FF48" s="1427"/>
      <c r="FG48" s="1427"/>
      <c r="FH48" s="1427"/>
      <c r="FI48" s="1427"/>
      <c r="FJ48" s="1427"/>
      <c r="FK48" s="1427"/>
      <c r="FL48" s="1427"/>
      <c r="FM48" s="1427"/>
      <c r="FN48" s="1427"/>
      <c r="FO48" s="1427"/>
      <c r="FP48" s="1427"/>
      <c r="FQ48" s="1427"/>
    </row>
    <row r="49" spans="1:173" s="1426" customFormat="1" ht="21.95" customHeight="1">
      <c r="A49" s="1443" t="str">
        <f>[10]points!B63</f>
        <v/>
      </c>
      <c r="B49" s="1442" t="str">
        <f>IF(A49="","",VLOOKUP(A49,[10]liste!AN:AQ,4,FALSE))</f>
        <v/>
      </c>
      <c r="C49" s="1441"/>
      <c r="D49" s="1441"/>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0" t="str">
        <f>IF(B49="","",COUNTA(Q49:AD49))</f>
        <v/>
      </c>
      <c r="AF49" s="1439">
        <f>SUM(Q49:W49)</f>
        <v>0</v>
      </c>
      <c r="AG49" s="1439">
        <f>SUM(CQ49:CW49)</f>
        <v>0</v>
      </c>
      <c r="AH49" s="1438" t="str">
        <f>IF(AG49=0,"X",AF49/AG49)</f>
        <v>X</v>
      </c>
      <c r="AI49" s="1439">
        <f>SUM(X49:AD49)</f>
        <v>0</v>
      </c>
      <c r="AJ49" s="1439">
        <f>SUM(CX49:DD49)</f>
        <v>0</v>
      </c>
      <c r="AK49" s="1438" t="str">
        <f>IF(AJ49=0,"X",AI49/AJ49)</f>
        <v>X</v>
      </c>
      <c r="AL49" s="1439">
        <f>SUM(Q49:AD49)</f>
        <v>0</v>
      </c>
      <c r="AM49" s="1439">
        <f>SUM(CQ49:DD49)</f>
        <v>0</v>
      </c>
      <c r="AN49" s="1438" t="str">
        <f>IF(CQ49+CR49+CS49+CT49+CU49+CV49+CW49+CX49+CY49+CZ49+DA49+DB49+DC49+DD49=0,"",MINVERSE(CQ49+CR49+CS49+CT49+CU49+CV49+CW49+CX49+CY49+CZ49+DA49+DB49+DC49+DD49)*AL49)</f>
        <v/>
      </c>
      <c r="AO49" s="1437">
        <f ca="1">IF(B49="",10,B49+RAND()*0.01)</f>
        <v>10</v>
      </c>
      <c r="AP49" s="1437" t="str">
        <f ca="1">IF(AND(C49="",J49=""),"e",IF(J49="",IF($BD$1&lt;=7,C49+RAND()*0.01,"e"),J49+RAND()*0.01))</f>
        <v>e</v>
      </c>
      <c r="AQ49" s="1437" t="str">
        <f ca="1">IF(AND(D49="",K49=""),"e",IF(K49="",IF($BD$1&lt;=7,D49+RAND()*0.01,"e"),K49+RAND()*0.01))</f>
        <v>e</v>
      </c>
      <c r="AR49" s="1437" t="str">
        <f ca="1">IF(AND(E49="",L49=""),"e",IF(L49="",IF($BD$1&lt;=7,E49+RAND()*0.01,"e"),L49+RAND()*0.01))</f>
        <v>e</v>
      </c>
      <c r="AS49" s="1437" t="str">
        <f ca="1">IF(AND(F49="",M49=""),"e",IF(M49="",IF($BD$1&lt;=7,F49+RAND()*0.01,"e"),M49+RAND()*0.01))</f>
        <v>e</v>
      </c>
      <c r="AT49" s="1437" t="str">
        <f ca="1">IF(AND(G49="",N49=""),"e",IF(N49="",IF($BD$1&lt;=7,G49+RAND()*0.01,"e"),N49+RAND()*0.01))</f>
        <v>e</v>
      </c>
      <c r="AU49" s="1437" t="str">
        <f ca="1">IF(AND(H49="",O49=""),"e",IF(O49="",IF($BD$1&lt;=7,H49+RAND()*0.01,"e"),O49+RAND()*0.01))</f>
        <v>e</v>
      </c>
      <c r="AV49" s="1437" t="str">
        <f ca="1">IF(AND(I49="",P49=""),"e",IF(P49="",IF($BD$1&lt;=7,I49+RAND()*0.01,"e"),P49+RAND()*0.01))</f>
        <v>e</v>
      </c>
      <c r="AW49" s="1437"/>
      <c r="AX49" s="1436" t="str">
        <f>A49</f>
        <v/>
      </c>
      <c r="AY49" s="1580" t="str">
        <f>IF(OR($H$2&gt;0,$H$3&gt;0,$H$4&gt;0,$H$5&gt;0,$H$6&gt;0,$H$7&gt;0,$H$8&gt;0,$H$2&gt;0),"",IF(COUNTIF(C49:H49,"")&gt;=5,"",IF(COUNTIF(C49:H49,SMALL(C49:H49,1))&gt;=2,SMALL(C49:H49,1),SMALL(C49:H49,2))))</f>
        <v/>
      </c>
      <c r="AZ49" s="1581" t="str">
        <f>IF(COUNTIF(J49:O49,"")&gt;=5,"",IF(COUNTIF(J49:O49,SMALL(J49:O49,1))&gt;=2,SMALL(J49:O49,1),SMALL(J49:O49,2)))</f>
        <v/>
      </c>
      <c r="BA49" s="1401"/>
      <c r="BB49" s="1401"/>
      <c r="BC49" s="1451" t="s">
        <v>738</v>
      </c>
      <c r="BD49" s="1450">
        <v>5.5</v>
      </c>
      <c r="BE49" s="1450">
        <v>-4.5</v>
      </c>
      <c r="BF49" s="1450">
        <v>7</v>
      </c>
      <c r="BG49" s="1449">
        <v>-6</v>
      </c>
      <c r="BH49" s="1453" t="s">
        <v>737</v>
      </c>
      <c r="BI49" s="1444"/>
      <c r="BJ49" s="1444"/>
      <c r="BK49" s="1444"/>
      <c r="BL49" s="1444"/>
      <c r="BM49" s="1444"/>
      <c r="BN49" s="1444"/>
      <c r="BO49" s="1444"/>
      <c r="BP49" s="1452"/>
      <c r="BQ49" s="1401"/>
      <c r="BR49" s="1401"/>
      <c r="BS49" s="1401"/>
      <c r="BT49" s="1401"/>
      <c r="BU49" s="1434"/>
      <c r="BV49" s="1401"/>
      <c r="BW49" s="1401"/>
      <c r="BX49" s="1401"/>
      <c r="BY49" s="561">
        <f ca="1">IF($BD$1&lt;=7,COUNTIF($C49:$I49,"1")+RAND()*0.0001,COUNTIF($J49:$P49,"1")+RAND()*0.0001)</f>
        <v>4.3260410765033318E-5</v>
      </c>
      <c r="BZ49" s="561" t="str">
        <f ca="1">IF(BY49&lt;1,"",AX49)</f>
        <v/>
      </c>
      <c r="CA49" s="561">
        <f ca="1">IF($BD$1&lt;=7,COUNTIF($C49:$I49,"2")+RAND()*0.0001,COUNTIF($J49:$P49,"2")+RAND()*0.0001)</f>
        <v>3.2030156573148872E-5</v>
      </c>
      <c r="CB49" s="561" t="str">
        <f ca="1">IF(CA49&lt;1,"",AX49)</f>
        <v/>
      </c>
      <c r="CC49" s="561">
        <f ca="1">IF($BD$1&lt;=7,COUNTIF($C49:$I49,"3")+RAND()*0.0001,COUNTIF($J49:$P49,"3")+RAND()*0.0001)</f>
        <v>2.1652835421825358E-5</v>
      </c>
      <c r="CD49" s="561" t="str">
        <f ca="1">IF(CC49&lt;1,"",AX49)</f>
        <v/>
      </c>
      <c r="CE49" s="561">
        <f ca="1">IF($BD$1&lt;=7,COUNTIF($C49:$I49,"4")+RAND()*0.0001,COUNTIF($J49:$P49,"4")+RAND()*0.0001)</f>
        <v>9.6568408811809899E-5</v>
      </c>
      <c r="CF49" s="561" t="str">
        <f ca="1">IF(CE49&lt;1,"",AX49)</f>
        <v/>
      </c>
      <c r="CG49" s="561">
        <f ca="1">IF($BD$1&lt;=7,COUNTIF($C49:$I49,"5")+RAND()*0.0001,COUNTIF($J49:$P49,"5")+RAND()*0.0001)</f>
        <v>1.5350535965791914E-5</v>
      </c>
      <c r="CH49" s="561" t="str">
        <f ca="1">IF(CG49&lt;1,"",AX49)</f>
        <v/>
      </c>
      <c r="CI49" s="561">
        <f ca="1">IF($BD$1&lt;=7,COUNTIF($C49:$I49,"6")+RAND()*0.0001,COUNTIF($J49:$P49,"6")+RAND()*0.0001)</f>
        <v>1.0219951762196988E-5</v>
      </c>
      <c r="CJ49" s="561" t="str">
        <f ca="1">IF(CI49&lt;1,"",AX49)</f>
        <v/>
      </c>
      <c r="CK49" s="561">
        <f ca="1">IF($BD$1&lt;=7,COUNTIF($C49:$I49,"7")+RAND()*0.0001,COUNTIF($J49:$P49,"7")+RAND()*0.0001)</f>
        <v>5.5625575279983586E-5</v>
      </c>
      <c r="CL49" s="561" t="str">
        <f ca="1">IF(CK49&lt;1,"",AX49)</f>
        <v/>
      </c>
      <c r="CM49" s="561">
        <f ca="1">IF($BD$1&lt;=7,COUNTIF($C49:$I49,"8")+RAND()*0.0001,COUNTIF($J49:$P49,"8")+RAND()*0.0001)</f>
        <v>5.5639966778612421E-5</v>
      </c>
      <c r="CN49" s="561" t="str">
        <f ca="1">IF(CM49&lt;1,"",AX49)</f>
        <v/>
      </c>
      <c r="CO49" s="1401"/>
      <c r="CP49" s="1401" t="e">
        <f ca="1">AE49+RAND()*0.01</f>
        <v>#VALUE!</v>
      </c>
      <c r="CQ49" s="1433">
        <f>VLOOKUP(C49,$CO$2:$DF$11,18,FALSE)</f>
        <v>0</v>
      </c>
      <c r="CR49" s="1433">
        <f>VLOOKUP(D49,$CO$2:$DF$11,18,FALSE)</f>
        <v>0</v>
      </c>
      <c r="CS49" s="1433">
        <f>VLOOKUP(E49,$CO$2:$DF$11,18,FALSE)</f>
        <v>0</v>
      </c>
      <c r="CT49" s="1433">
        <f>VLOOKUP(F49,$CO$2:$DF$11,18,FALSE)</f>
        <v>0</v>
      </c>
      <c r="CU49" s="1433">
        <f>VLOOKUP(G49,$CO$2:$DF$11,18,FALSE)</f>
        <v>0</v>
      </c>
      <c r="CV49" s="1433">
        <f>VLOOKUP(H49,$CO$2:$DF$11,18,FALSE)</f>
        <v>0</v>
      </c>
      <c r="CW49" s="1433">
        <f>VLOOKUP(I49,$CO$2:$DF$11,18,FALSE)</f>
        <v>0</v>
      </c>
      <c r="CX49" s="1433">
        <f>VLOOKUP(J49,$CO$2:$DF$11,18,FALSE)</f>
        <v>0</v>
      </c>
      <c r="CY49" s="1433">
        <f>VLOOKUP(K49,$CO$2:$DF$11,18,FALSE)</f>
        <v>0</v>
      </c>
      <c r="CZ49" s="1433">
        <f>VLOOKUP(L49,$CO$2:$DF$11,18,FALSE)</f>
        <v>0</v>
      </c>
      <c r="DA49" s="1433">
        <f>VLOOKUP(M49,$CO$2:$DF$11,18,FALSE)</f>
        <v>0</v>
      </c>
      <c r="DB49" s="1433">
        <f>VLOOKUP(N49,$CO$2:$DF$11,18,FALSE)</f>
        <v>0</v>
      </c>
      <c r="DC49" s="1433">
        <f>VLOOKUP(O49,$CO$2:$DF$11,18,FALSE)</f>
        <v>0</v>
      </c>
      <c r="DD49" s="1433">
        <f>VLOOKUP(P49,$CO$2:$DF$11,18,FALSE)</f>
        <v>0</v>
      </c>
      <c r="DE49" s="1432">
        <f>IF(AND(DI49=0,A49=""),AL49,IF(DI49=0,AL49+VLOOKUP(AX49,[10]Critérium!$AC$49:$DE$100,81,FALSE),AL49+VLOOKUP(AX49,[10]Critérium!$B$6:$T$22,19,FALSE)+VLOOKUP(AX49,[10]Critérium!$AC$49:$DE$100,81,FALSE)))</f>
        <v>0</v>
      </c>
      <c r="DF49" s="1431"/>
      <c r="DG49" s="1429">
        <f>IF(AND(DI49=0,A49=""),AM49,IF(DI49=0,AM49+VLOOKUP(AX49,[10]Critérium!$AC$49:$DH$100,84,FALSE),AM49+VLOOKUP(AX49,[10]Critérium!$B$6:$V$22,21,FALSE)+VLOOKUP(AX49,[10]Critérium!$AC$49:$DH$100,84,FALSE)))</f>
        <v>0</v>
      </c>
      <c r="DH49" s="1430">
        <f ca="1">IF(DG49=0,0,(DE49/DG49+RAND()*0.0001))</f>
        <v>0</v>
      </c>
      <c r="DI49" s="1429">
        <f>VLOOKUP(AX49,[10]liste!AN:AR,5,FALSE)</f>
        <v>0</v>
      </c>
      <c r="DJ49" s="1427">
        <f ca="1">DG49+RAND()</f>
        <v>0.43618894260583285</v>
      </c>
      <c r="DK49" s="1427" t="str">
        <f>A49</f>
        <v/>
      </c>
      <c r="DL49" s="1427"/>
      <c r="DM49" s="1428">
        <f>HLOOKUP($DM$1,$C$1:$P$70,49,FALSE)</f>
        <v>0</v>
      </c>
      <c r="DN49" s="1428">
        <f>HLOOKUP($DN$1,$Q$1:$AD$70,49,FALSE)</f>
        <v>0</v>
      </c>
      <c r="DO49" s="1401"/>
      <c r="DP49" s="1401"/>
      <c r="DQ49" s="1401"/>
      <c r="DR49" s="1400">
        <f>IF(SUM(C49:P49)=0,0,(AE49*10/SUM(C49:P49)/2)*AE49/21)</f>
        <v>0</v>
      </c>
      <c r="DS49" s="1427"/>
      <c r="DT49" s="1427"/>
      <c r="DU49" s="1427"/>
      <c r="DV49" s="1427"/>
      <c r="DW49" s="1427"/>
      <c r="DX49" s="1427"/>
      <c r="DY49" s="1427"/>
      <c r="DZ49" s="1427"/>
      <c r="EA49" s="1427"/>
      <c r="EB49" s="1427"/>
      <c r="EC49" s="1427"/>
      <c r="ED49" s="1427"/>
      <c r="EE49" s="1427"/>
      <c r="EF49" s="1427"/>
      <c r="EG49" s="1427"/>
      <c r="EH49" s="1427"/>
      <c r="EI49" s="1427"/>
      <c r="EJ49" s="1427"/>
      <c r="EK49" s="1427"/>
      <c r="EL49" s="1427"/>
      <c r="EM49" s="1427"/>
      <c r="EN49" s="1427"/>
      <c r="EO49" s="1427"/>
      <c r="EP49" s="1427"/>
      <c r="EQ49" s="1427"/>
      <c r="ER49" s="1427"/>
      <c r="ES49" s="1427"/>
      <c r="ET49" s="1427"/>
      <c r="EU49" s="1427"/>
      <c r="EV49" s="1427"/>
      <c r="EW49" s="1427"/>
      <c r="EX49" s="1427"/>
      <c r="EY49" s="1427"/>
      <c r="EZ49" s="1427"/>
      <c r="FA49" s="1427"/>
      <c r="FB49" s="1427"/>
      <c r="FC49" s="1427"/>
      <c r="FD49" s="1427"/>
      <c r="FE49" s="1427"/>
      <c r="FF49" s="1427"/>
      <c r="FG49" s="1427"/>
      <c r="FH49" s="1427"/>
      <c r="FI49" s="1427"/>
      <c r="FJ49" s="1427"/>
      <c r="FK49" s="1427"/>
      <c r="FL49" s="1427"/>
      <c r="FM49" s="1427"/>
      <c r="FN49" s="1427"/>
      <c r="FO49" s="1427"/>
      <c r="FP49" s="1427"/>
      <c r="FQ49" s="1427"/>
    </row>
    <row r="50" spans="1:173" s="1426" customFormat="1" ht="21.95" customHeight="1">
      <c r="A50" s="1443" t="str">
        <f>[10]points!B64</f>
        <v/>
      </c>
      <c r="B50" s="1442" t="str">
        <f>IF(A50="","",VLOOKUP(A50,[10]liste!AN:AQ,4,FALSE))</f>
        <v/>
      </c>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0" t="str">
        <f>IF(B50="","",COUNTA(Q50:AD50))</f>
        <v/>
      </c>
      <c r="AF50" s="1439">
        <f>SUM(Q50:W50)</f>
        <v>0</v>
      </c>
      <c r="AG50" s="1439">
        <f>SUM(CQ50:CW50)</f>
        <v>0</v>
      </c>
      <c r="AH50" s="1438" t="str">
        <f>IF(AG50=0,"X",AF50/AG50)</f>
        <v>X</v>
      </c>
      <c r="AI50" s="1439">
        <f>SUM(X50:AD50)</f>
        <v>0</v>
      </c>
      <c r="AJ50" s="1439">
        <f>SUM(CX50:DD50)</f>
        <v>0</v>
      </c>
      <c r="AK50" s="1438" t="str">
        <f>IF(AJ50=0,"X",AI50/AJ50)</f>
        <v>X</v>
      </c>
      <c r="AL50" s="1439">
        <f>SUM(Q50:AD50)</f>
        <v>0</v>
      </c>
      <c r="AM50" s="1439">
        <f>SUM(CQ50:DD50)</f>
        <v>0</v>
      </c>
      <c r="AN50" s="1438" t="str">
        <f>IF(CQ50+CR50+CS50+CT50+CU50+CV50+CW50+CX50+CY50+CZ50+DA50+DB50+DC50+DD50=0,"",MINVERSE(CQ50+CR50+CS50+CT50+CU50+CV50+CW50+CX50+CY50+CZ50+DA50+DB50+DC50+DD50)*AL50)</f>
        <v/>
      </c>
      <c r="AO50" s="1437">
        <f ca="1">IF(B50="",10,B50+RAND()*0.01)</f>
        <v>10</v>
      </c>
      <c r="AP50" s="1437" t="str">
        <f ca="1">IF(AND(C50="",J50=""),"e",IF(J50="",IF($BD$1&lt;=7,C50+RAND()*0.01,"e"),J50+RAND()*0.01))</f>
        <v>e</v>
      </c>
      <c r="AQ50" s="1437" t="str">
        <f ca="1">IF(AND(D50="",K50=""),"e",IF(K50="",IF($BD$1&lt;=7,D50+RAND()*0.01,"e"),K50+RAND()*0.01))</f>
        <v>e</v>
      </c>
      <c r="AR50" s="1437" t="str">
        <f ca="1">IF(AND(E50="",L50=""),"e",IF(L50="",IF($BD$1&lt;=7,E50+RAND()*0.01,"e"),L50+RAND()*0.01))</f>
        <v>e</v>
      </c>
      <c r="AS50" s="1437" t="str">
        <f ca="1">IF(AND(F50="",M50=""),"e",IF(M50="",IF($BD$1&lt;=7,F50+RAND()*0.01,"e"),M50+RAND()*0.01))</f>
        <v>e</v>
      </c>
      <c r="AT50" s="1437" t="str">
        <f ca="1">IF(AND(G50="",N50=""),"e",IF(N50="",IF($BD$1&lt;=7,G50+RAND()*0.01,"e"),N50+RAND()*0.01))</f>
        <v>e</v>
      </c>
      <c r="AU50" s="1437" t="str">
        <f ca="1">IF(AND(H50="",O50=""),"e",IF(O50="",IF($BD$1&lt;=7,H50+RAND()*0.01,"e"),O50+RAND()*0.01))</f>
        <v>e</v>
      </c>
      <c r="AV50" s="1437" t="str">
        <f ca="1">IF(AND(I50="",P50=""),"e",IF(P50="",IF($BD$1&lt;=7,I50+RAND()*0.01,"e"),P50+RAND()*0.01))</f>
        <v>e</v>
      </c>
      <c r="AW50" s="1437"/>
      <c r="AX50" s="1436" t="str">
        <f>A50</f>
        <v/>
      </c>
      <c r="AY50" s="1580" t="str">
        <f>IF(OR($H$2&gt;0,$H$3&gt;0,$H$4&gt;0,$H$5&gt;0,$H$6&gt;0,$H$7&gt;0,$H$8&gt;0,$H$2&gt;0),"",IF(COUNTIF(C50:H50,"")&gt;=5,"",IF(COUNTIF(C50:H50,SMALL(C50:H50,1))&gt;=2,SMALL(C50:H50,1),SMALL(C50:H50,2))))</f>
        <v/>
      </c>
      <c r="AZ50" s="1581" t="str">
        <f>IF(COUNTIF(J50:O50,"")&gt;=5,"",IF(COUNTIF(J50:O50,SMALL(J50:O50,1))&gt;=2,SMALL(J50:O50,1),SMALL(J50:O50,2)))</f>
        <v/>
      </c>
      <c r="BA50" s="1401"/>
      <c r="BB50" s="1401"/>
      <c r="BC50" s="1451" t="s">
        <v>736</v>
      </c>
      <c r="BD50" s="1450">
        <v>5</v>
      </c>
      <c r="BE50" s="1450">
        <v>-4</v>
      </c>
      <c r="BF50" s="1450">
        <v>8</v>
      </c>
      <c r="BG50" s="1449">
        <v>-7</v>
      </c>
      <c r="BH50" s="1453" t="s">
        <v>735</v>
      </c>
      <c r="BI50" s="1444"/>
      <c r="BJ50" s="1444"/>
      <c r="BK50" s="1444"/>
      <c r="BL50" s="1444"/>
      <c r="BM50" s="1444"/>
      <c r="BN50" s="1444"/>
      <c r="BO50" s="1444"/>
      <c r="BP50" s="1452"/>
      <c r="BQ50" s="1401"/>
      <c r="BR50" s="1401"/>
      <c r="BS50" s="1401"/>
      <c r="BT50" s="1401"/>
      <c r="BU50" s="1434"/>
      <c r="BV50" s="1401"/>
      <c r="BW50" s="1401"/>
      <c r="BX50" s="1401"/>
      <c r="BY50" s="561">
        <f ca="1">IF($BD$1&lt;=7,COUNTIF($C50:$I50,"1")+RAND()*0.0001,COUNTIF($J50:$P50,"1")+RAND()*0.0001)</f>
        <v>5.1693123320256711E-5</v>
      </c>
      <c r="BZ50" s="561" t="str">
        <f ca="1">IF(BY50&lt;1,"",AX50)</f>
        <v/>
      </c>
      <c r="CA50" s="561">
        <f ca="1">IF($BD$1&lt;=7,COUNTIF($C50:$I50,"2")+RAND()*0.0001,COUNTIF($J50:$P50,"2")+RAND()*0.0001)</f>
        <v>4.2522496998732273E-5</v>
      </c>
      <c r="CB50" s="561" t="str">
        <f ca="1">IF(CA50&lt;1,"",AX50)</f>
        <v/>
      </c>
      <c r="CC50" s="561">
        <f ca="1">IF($BD$1&lt;=7,COUNTIF($C50:$I50,"3")+RAND()*0.0001,COUNTIF($J50:$P50,"3")+RAND()*0.0001)</f>
        <v>5.0932408853636818E-5</v>
      </c>
      <c r="CD50" s="561" t="str">
        <f ca="1">IF(CC50&lt;1,"",AX50)</f>
        <v/>
      </c>
      <c r="CE50" s="561">
        <f ca="1">IF($BD$1&lt;=7,COUNTIF($C50:$I50,"4")+RAND()*0.0001,COUNTIF($J50:$P50,"4")+RAND()*0.0001)</f>
        <v>7.3630955805081673E-5</v>
      </c>
      <c r="CF50" s="561" t="str">
        <f ca="1">IF(CE50&lt;1,"",AX50)</f>
        <v/>
      </c>
      <c r="CG50" s="561">
        <f ca="1">IF($BD$1&lt;=7,COUNTIF($C50:$I50,"5")+RAND()*0.0001,COUNTIF($J50:$P50,"5")+RAND()*0.0001)</f>
        <v>4.6325406061261778E-5</v>
      </c>
      <c r="CH50" s="561" t="str">
        <f ca="1">IF(CG50&lt;1,"",AX50)</f>
        <v/>
      </c>
      <c r="CI50" s="561">
        <f ca="1">IF($BD$1&lt;=7,COUNTIF($C50:$I50,"6")+RAND()*0.0001,COUNTIF($J50:$P50,"6")+RAND()*0.0001)</f>
        <v>1.7504340476537152E-5</v>
      </c>
      <c r="CJ50" s="561" t="str">
        <f ca="1">IF(CI50&lt;1,"",AX50)</f>
        <v/>
      </c>
      <c r="CK50" s="561">
        <f ca="1">IF($BD$1&lt;=7,COUNTIF($C50:$I50,"7")+RAND()*0.0001,COUNTIF($J50:$P50,"7")+RAND()*0.0001)</f>
        <v>4.5325337601493687E-5</v>
      </c>
      <c r="CL50" s="561" t="str">
        <f ca="1">IF(CK50&lt;1,"",AX50)</f>
        <v/>
      </c>
      <c r="CM50" s="561">
        <f ca="1">IF($BD$1&lt;=7,COUNTIF($C50:$I50,"8")+RAND()*0.0001,COUNTIF($J50:$P50,"8")+RAND()*0.0001)</f>
        <v>2.1047269929637592E-5</v>
      </c>
      <c r="CN50" s="561" t="str">
        <f ca="1">IF(CM50&lt;1,"",AX50)</f>
        <v/>
      </c>
      <c r="CO50" s="1401"/>
      <c r="CP50" s="1401" t="e">
        <f ca="1">AE50+RAND()*0.01</f>
        <v>#VALUE!</v>
      </c>
      <c r="CQ50" s="1433">
        <f>VLOOKUP(C50,$CO$2:$DF$11,18,FALSE)</f>
        <v>0</v>
      </c>
      <c r="CR50" s="1433">
        <f>VLOOKUP(D50,$CO$2:$DF$11,18,FALSE)</f>
        <v>0</v>
      </c>
      <c r="CS50" s="1433">
        <f>VLOOKUP(E50,$CO$2:$DF$11,18,FALSE)</f>
        <v>0</v>
      </c>
      <c r="CT50" s="1433">
        <f>VLOOKUP(F50,$CO$2:$DF$11,18,FALSE)</f>
        <v>0</v>
      </c>
      <c r="CU50" s="1433">
        <f>VLOOKUP(G50,$CO$2:$DF$11,18,FALSE)</f>
        <v>0</v>
      </c>
      <c r="CV50" s="1433">
        <f>VLOOKUP(H50,$CO$2:$DF$11,18,FALSE)</f>
        <v>0</v>
      </c>
      <c r="CW50" s="1433">
        <f>VLOOKUP(I50,$CO$2:$DF$11,18,FALSE)</f>
        <v>0</v>
      </c>
      <c r="CX50" s="1433">
        <f>VLOOKUP(J50,$CO$2:$DF$11,18,FALSE)</f>
        <v>0</v>
      </c>
      <c r="CY50" s="1433">
        <f>VLOOKUP(K50,$CO$2:$DF$11,18,FALSE)</f>
        <v>0</v>
      </c>
      <c r="CZ50" s="1433">
        <f>VLOOKUP(L50,$CO$2:$DF$11,18,FALSE)</f>
        <v>0</v>
      </c>
      <c r="DA50" s="1433">
        <f>VLOOKUP(M50,$CO$2:$DF$11,18,FALSE)</f>
        <v>0</v>
      </c>
      <c r="DB50" s="1433">
        <f>VLOOKUP(N50,$CO$2:$DF$11,18,FALSE)</f>
        <v>0</v>
      </c>
      <c r="DC50" s="1433">
        <f>VLOOKUP(O50,$CO$2:$DF$11,18,FALSE)</f>
        <v>0</v>
      </c>
      <c r="DD50" s="1433">
        <f>VLOOKUP(P50,$CO$2:$DF$11,18,FALSE)</f>
        <v>0</v>
      </c>
      <c r="DE50" s="1432">
        <f>IF(AND(DI50=0,A50=""),AL50,IF(DI50=0,AL50+VLOOKUP(AX50,[10]Critérium!$AC$49:$DE$100,81,FALSE),AL50+VLOOKUP(AX50,[10]Critérium!$B$6:$T$22,19,FALSE)+VLOOKUP(AX50,[10]Critérium!$AC$49:$DE$100,81,FALSE)))</f>
        <v>0</v>
      </c>
      <c r="DF50" s="1431"/>
      <c r="DG50" s="1429">
        <f>IF(AND(DI50=0,A50=""),AM50,IF(DI50=0,AM50+VLOOKUP(AX50,[10]Critérium!$AC$49:$DH$100,84,FALSE),AM50+VLOOKUP(AX50,[10]Critérium!$B$6:$V$22,21,FALSE)+VLOOKUP(AX50,[10]Critérium!$AC$49:$DH$100,84,FALSE)))</f>
        <v>0</v>
      </c>
      <c r="DH50" s="1430">
        <f ca="1">IF(DG50=0,0,(DE50/DG50+RAND()*0.0001))</f>
        <v>0</v>
      </c>
      <c r="DI50" s="1429">
        <f>VLOOKUP(AX50,[10]liste!AN:AR,5,FALSE)</f>
        <v>0</v>
      </c>
      <c r="DJ50" s="1427">
        <f ca="1">DG50+RAND()</f>
        <v>1.2422680136985886E-2</v>
      </c>
      <c r="DK50" s="1427" t="str">
        <f>A50</f>
        <v/>
      </c>
      <c r="DL50" s="1427"/>
      <c r="DM50" s="1428">
        <f>HLOOKUP($DM$1,$C$1:$P$70,50,FALSE)</f>
        <v>0</v>
      </c>
      <c r="DN50" s="1428">
        <f>HLOOKUP($DN$1,$Q$1:$AD$70,50,FALSE)</f>
        <v>0</v>
      </c>
      <c r="DO50" s="1401"/>
      <c r="DP50" s="1401"/>
      <c r="DQ50" s="1401"/>
      <c r="DR50" s="1400">
        <f>IF(SUM(C50:P50)=0,0,(AE50*10/SUM(C50:P50)/2)*AE50/21)</f>
        <v>0</v>
      </c>
      <c r="DS50" s="1427"/>
      <c r="DT50" s="1427"/>
      <c r="DU50" s="1427"/>
      <c r="DV50" s="1427"/>
      <c r="DW50" s="1427"/>
      <c r="DX50" s="1427"/>
      <c r="DY50" s="1427"/>
      <c r="DZ50" s="1427"/>
      <c r="EA50" s="1427"/>
      <c r="EB50" s="1427"/>
      <c r="EC50" s="1427"/>
      <c r="ED50" s="1427"/>
      <c r="EE50" s="1427"/>
      <c r="EF50" s="1427"/>
      <c r="EG50" s="1427"/>
      <c r="EH50" s="1427"/>
      <c r="EI50" s="1427"/>
      <c r="EJ50" s="1427"/>
      <c r="EK50" s="1427"/>
      <c r="EL50" s="1427"/>
      <c r="EM50" s="1427"/>
      <c r="EN50" s="1427"/>
      <c r="EO50" s="1427"/>
      <c r="EP50" s="1427"/>
      <c r="EQ50" s="1427"/>
      <c r="ER50" s="1427"/>
      <c r="ES50" s="1427"/>
      <c r="ET50" s="1427"/>
      <c r="EU50" s="1427"/>
      <c r="EV50" s="1427"/>
      <c r="EW50" s="1427"/>
      <c r="EX50" s="1427"/>
      <c r="EY50" s="1427"/>
      <c r="EZ50" s="1427"/>
      <c r="FA50" s="1427"/>
      <c r="FB50" s="1427"/>
      <c r="FC50" s="1427"/>
      <c r="FD50" s="1427"/>
      <c r="FE50" s="1427"/>
      <c r="FF50" s="1427"/>
      <c r="FG50" s="1427"/>
      <c r="FH50" s="1427"/>
      <c r="FI50" s="1427"/>
      <c r="FJ50" s="1427"/>
      <c r="FK50" s="1427"/>
      <c r="FL50" s="1427"/>
      <c r="FM50" s="1427"/>
      <c r="FN50" s="1427"/>
      <c r="FO50" s="1427"/>
      <c r="FP50" s="1427"/>
      <c r="FQ50" s="1427"/>
    </row>
    <row r="51" spans="1:173" s="1426" customFormat="1" ht="21.95" customHeight="1">
      <c r="A51" s="1443" t="str">
        <f>[10]points!B65</f>
        <v/>
      </c>
      <c r="B51" s="1442" t="str">
        <f>IF(A51="","",VLOOKUP(A51,[10]liste!AN:AQ,4,FALSE))</f>
        <v/>
      </c>
      <c r="C51" s="1441"/>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1441"/>
      <c r="Z51" s="1441"/>
      <c r="AA51" s="1441"/>
      <c r="AB51" s="1441"/>
      <c r="AC51" s="1441"/>
      <c r="AD51" s="1441"/>
      <c r="AE51" s="1440" t="str">
        <f>IF(B51="","",COUNTA(Q51:AD51))</f>
        <v/>
      </c>
      <c r="AF51" s="1439">
        <f>SUM(Q51:W51)</f>
        <v>0</v>
      </c>
      <c r="AG51" s="1439">
        <f>SUM(CQ51:CW51)</f>
        <v>0</v>
      </c>
      <c r="AH51" s="1438" t="str">
        <f>IF(AG51=0,"X",AF51/AG51)</f>
        <v>X</v>
      </c>
      <c r="AI51" s="1439">
        <f>SUM(X51:AD51)</f>
        <v>0</v>
      </c>
      <c r="AJ51" s="1439">
        <f>SUM(CX51:DD51)</f>
        <v>0</v>
      </c>
      <c r="AK51" s="1438" t="str">
        <f>IF(AJ51=0,"X",AI51/AJ51)</f>
        <v>X</v>
      </c>
      <c r="AL51" s="1439">
        <f>SUM(Q51:AD51)</f>
        <v>0</v>
      </c>
      <c r="AM51" s="1439">
        <f>SUM(CQ51:DD51)</f>
        <v>0</v>
      </c>
      <c r="AN51" s="1438" t="str">
        <f>IF(CQ51+CR51+CS51+CT51+CU51+CV51+CW51+CX51+CY51+CZ51+DA51+DB51+DC51+DD51=0,"",MINVERSE(CQ51+CR51+CS51+CT51+CU51+CV51+CW51+CX51+CY51+CZ51+DA51+DB51+DC51+DD51)*AL51)</f>
        <v/>
      </c>
      <c r="AO51" s="1437">
        <f ca="1">IF(B51="",10,B51+RAND()*0.01)</f>
        <v>10</v>
      </c>
      <c r="AP51" s="1437" t="str">
        <f ca="1">IF(AND(C51="",J51=""),"e",IF(J51="",IF($BD$1&lt;=7,C51+RAND()*0.01,"e"),J51+RAND()*0.01))</f>
        <v>e</v>
      </c>
      <c r="AQ51" s="1437" t="str">
        <f ca="1">IF(AND(D51="",K51=""),"e",IF(K51="",IF($BD$1&lt;=7,D51+RAND()*0.01,"e"),K51+RAND()*0.01))</f>
        <v>e</v>
      </c>
      <c r="AR51" s="1437" t="str">
        <f ca="1">IF(AND(E51="",L51=""),"e",IF(L51="",IF($BD$1&lt;=7,E51+RAND()*0.01,"e"),L51+RAND()*0.01))</f>
        <v>e</v>
      </c>
      <c r="AS51" s="1437" t="str">
        <f ca="1">IF(AND(F51="",M51=""),"e",IF(M51="",IF($BD$1&lt;=7,F51+RAND()*0.01,"e"),M51+RAND()*0.01))</f>
        <v>e</v>
      </c>
      <c r="AT51" s="1437" t="str">
        <f ca="1">IF(AND(G51="",N51=""),"e",IF(N51="",IF($BD$1&lt;=7,G51+RAND()*0.01,"e"),N51+RAND()*0.01))</f>
        <v>e</v>
      </c>
      <c r="AU51" s="1437" t="str">
        <f ca="1">IF(AND(H51="",O51=""),"e",IF(O51="",IF($BD$1&lt;=7,H51+RAND()*0.01,"e"),O51+RAND()*0.01))</f>
        <v>e</v>
      </c>
      <c r="AV51" s="1437" t="str">
        <f ca="1">IF(AND(I51="",P51=""),"e",IF(P51="",IF($BD$1&lt;=7,I51+RAND()*0.01,"e"),P51+RAND()*0.01))</f>
        <v>e</v>
      </c>
      <c r="AW51" s="1437"/>
      <c r="AX51" s="1436" t="str">
        <f>A51</f>
        <v/>
      </c>
      <c r="AY51" s="1580" t="str">
        <f>IF(OR($H$2&gt;0,$H$3&gt;0,$H$4&gt;0,$H$5&gt;0,$H$6&gt;0,$H$7&gt;0,$H$8&gt;0,$H$2&gt;0),"",IF(COUNTIF(C51:H51,"")&gt;=5,"",IF(COUNTIF(C51:H51,SMALL(C51:H51,1))&gt;=2,SMALL(C51:H51,1),SMALL(C51:H51,2))))</f>
        <v/>
      </c>
      <c r="AZ51" s="1581" t="str">
        <f>IF(COUNTIF(J51:O51,"")&gt;=5,"",IF(COUNTIF(J51:O51,SMALL(J51:O51,1))&gt;=2,SMALL(J51:O51,1),SMALL(J51:O51,2)))</f>
        <v/>
      </c>
      <c r="BA51" s="1401"/>
      <c r="BB51" s="1401"/>
      <c r="BC51" s="1451" t="s">
        <v>734</v>
      </c>
      <c r="BD51" s="1450">
        <v>4</v>
      </c>
      <c r="BE51" s="1450">
        <v>-3</v>
      </c>
      <c r="BF51" s="1450">
        <v>10</v>
      </c>
      <c r="BG51" s="1449">
        <v>-8</v>
      </c>
      <c r="BH51" s="1453" t="s">
        <v>733</v>
      </c>
      <c r="BI51" s="1444"/>
      <c r="BJ51" s="1444"/>
      <c r="BK51" s="1444"/>
      <c r="BL51" s="1444"/>
      <c r="BM51" s="1444"/>
      <c r="BN51" s="1444"/>
      <c r="BO51" s="1444"/>
      <c r="BP51" s="1452"/>
      <c r="BQ51" s="1401"/>
      <c r="BR51" s="1401"/>
      <c r="BS51" s="1401"/>
      <c r="BT51" s="1401"/>
      <c r="BU51" s="1434"/>
      <c r="BV51" s="1401"/>
      <c r="BW51" s="1401"/>
      <c r="BX51" s="1401"/>
      <c r="BY51" s="561">
        <f ca="1">IF($BD$1&lt;=7,COUNTIF($C51:$I51,"1")+RAND()*0.0001,COUNTIF($J51:$P51,"1")+RAND()*0.0001)</f>
        <v>3.0983009151744979E-5</v>
      </c>
      <c r="BZ51" s="561" t="str">
        <f ca="1">IF(BY51&lt;1,"",AX51)</f>
        <v/>
      </c>
      <c r="CA51" s="561">
        <f ca="1">IF($BD$1&lt;=7,COUNTIF($C51:$I51,"2")+RAND()*0.0001,COUNTIF($J51:$P51,"2")+RAND()*0.0001)</f>
        <v>9.5950230248222602E-5</v>
      </c>
      <c r="CB51" s="561" t="str">
        <f ca="1">IF(CA51&lt;1,"",AX51)</f>
        <v/>
      </c>
      <c r="CC51" s="561">
        <f ca="1">IF($BD$1&lt;=7,COUNTIF($C51:$I51,"3")+RAND()*0.0001,COUNTIF($J51:$P51,"3")+RAND()*0.0001)</f>
        <v>8.6454601323113505E-5</v>
      </c>
      <c r="CD51" s="561" t="str">
        <f ca="1">IF(CC51&lt;1,"",AX51)</f>
        <v/>
      </c>
      <c r="CE51" s="561">
        <f ca="1">IF($BD$1&lt;=7,COUNTIF($C51:$I51,"4")+RAND()*0.0001,COUNTIF($J51:$P51,"4")+RAND()*0.0001)</f>
        <v>7.5405582019716317E-5</v>
      </c>
      <c r="CF51" s="561" t="str">
        <f ca="1">IF(CE51&lt;1,"",AX51)</f>
        <v/>
      </c>
      <c r="CG51" s="561">
        <f ca="1">IF($BD$1&lt;=7,COUNTIF($C51:$I51,"5")+RAND()*0.0001,COUNTIF($J51:$P51,"5")+RAND()*0.0001)</f>
        <v>9.5103064931876066E-5</v>
      </c>
      <c r="CH51" s="561" t="str">
        <f ca="1">IF(CG51&lt;1,"",AX51)</f>
        <v/>
      </c>
      <c r="CI51" s="561">
        <f ca="1">IF($BD$1&lt;=7,COUNTIF($C51:$I51,"6")+RAND()*0.0001,COUNTIF($J51:$P51,"6")+RAND()*0.0001)</f>
        <v>9.7020363111775663E-5</v>
      </c>
      <c r="CJ51" s="561" t="str">
        <f ca="1">IF(CI51&lt;1,"",AX51)</f>
        <v/>
      </c>
      <c r="CK51" s="561">
        <f ca="1">IF($BD$1&lt;=7,COUNTIF($C51:$I51,"7")+RAND()*0.0001,COUNTIF($J51:$P51,"7")+RAND()*0.0001)</f>
        <v>4.1503892577247742E-5</v>
      </c>
      <c r="CL51" s="561" t="str">
        <f ca="1">IF(CK51&lt;1,"",AX51)</f>
        <v/>
      </c>
      <c r="CM51" s="561">
        <f ca="1">IF($BD$1&lt;=7,COUNTIF($C51:$I51,"8")+RAND()*0.0001,COUNTIF($J51:$P51,"8")+RAND()*0.0001)</f>
        <v>6.2041747216096748E-5</v>
      </c>
      <c r="CN51" s="561" t="str">
        <f ca="1">IF(CM51&lt;1,"",AX51)</f>
        <v/>
      </c>
      <c r="CO51" s="1401"/>
      <c r="CP51" s="1401" t="e">
        <f ca="1">AE51+RAND()*0.01</f>
        <v>#VALUE!</v>
      </c>
      <c r="CQ51" s="1433">
        <f>VLOOKUP(C51,$CO$2:$DF$11,18,FALSE)</f>
        <v>0</v>
      </c>
      <c r="CR51" s="1433">
        <f>VLOOKUP(D51,$CO$2:$DF$11,18,FALSE)</f>
        <v>0</v>
      </c>
      <c r="CS51" s="1433">
        <f>VLOOKUP(E51,$CO$2:$DF$11,18,FALSE)</f>
        <v>0</v>
      </c>
      <c r="CT51" s="1433">
        <f>VLOOKUP(F51,$CO$2:$DF$11,18,FALSE)</f>
        <v>0</v>
      </c>
      <c r="CU51" s="1433">
        <f>VLOOKUP(G51,$CO$2:$DF$11,18,FALSE)</f>
        <v>0</v>
      </c>
      <c r="CV51" s="1433">
        <f>VLOOKUP(H51,$CO$2:$DF$11,18,FALSE)</f>
        <v>0</v>
      </c>
      <c r="CW51" s="1433">
        <f>VLOOKUP(I51,$CO$2:$DF$11,18,FALSE)</f>
        <v>0</v>
      </c>
      <c r="CX51" s="1433">
        <f>VLOOKUP(J51,$CO$2:$DF$11,18,FALSE)</f>
        <v>0</v>
      </c>
      <c r="CY51" s="1433">
        <f>VLOOKUP(K51,$CO$2:$DF$11,18,FALSE)</f>
        <v>0</v>
      </c>
      <c r="CZ51" s="1433">
        <f>VLOOKUP(L51,$CO$2:$DF$11,18,FALSE)</f>
        <v>0</v>
      </c>
      <c r="DA51" s="1433">
        <f>VLOOKUP(M51,$CO$2:$DF$11,18,FALSE)</f>
        <v>0</v>
      </c>
      <c r="DB51" s="1433">
        <f>VLOOKUP(N51,$CO$2:$DF$11,18,FALSE)</f>
        <v>0</v>
      </c>
      <c r="DC51" s="1433">
        <f>VLOOKUP(O51,$CO$2:$DF$11,18,FALSE)</f>
        <v>0</v>
      </c>
      <c r="DD51" s="1433">
        <f>VLOOKUP(P51,$CO$2:$DF$11,18,FALSE)</f>
        <v>0</v>
      </c>
      <c r="DE51" s="1432">
        <f>IF(AND(DI51=0,A51=""),AL51,IF(DI51=0,AL51+VLOOKUP(AX51,[10]Critérium!$AC$49:$DE$100,81,FALSE),AL51+VLOOKUP(AX51,[10]Critérium!$B$6:$T$22,19,FALSE)+VLOOKUP(AX51,[10]Critérium!$AC$49:$DE$100,81,FALSE)))</f>
        <v>0</v>
      </c>
      <c r="DF51" s="1431"/>
      <c r="DG51" s="1429">
        <f>IF(AND(DI51=0,A51=""),AM51,IF(DI51=0,AM51+VLOOKUP(AX51,[10]Critérium!$AC$49:$DH$100,84,FALSE),AM51+VLOOKUP(AX51,[10]Critérium!$B$6:$V$22,21,FALSE)+VLOOKUP(AX51,[10]Critérium!$AC$49:$DH$100,84,FALSE)))</f>
        <v>0</v>
      </c>
      <c r="DH51" s="1430">
        <f ca="1">IF(DG51=0,0,(DE51/DG51+RAND()*0.0001))</f>
        <v>0</v>
      </c>
      <c r="DI51" s="1429">
        <f>VLOOKUP(AX51,[10]liste!AN:AR,5,FALSE)</f>
        <v>0</v>
      </c>
      <c r="DJ51" s="1427">
        <f ca="1">DG51+RAND()</f>
        <v>0.96025477763543399</v>
      </c>
      <c r="DK51" s="1427" t="str">
        <f>A51</f>
        <v/>
      </c>
      <c r="DL51" s="1427"/>
      <c r="DM51" s="1428">
        <f>HLOOKUP($DM$1,$C$1:$P$70,51,FALSE)</f>
        <v>0</v>
      </c>
      <c r="DN51" s="1428">
        <f>HLOOKUP($DN$1,$Q$1:$AD$70,51,FALSE)</f>
        <v>0</v>
      </c>
      <c r="DO51" s="1401"/>
      <c r="DP51" s="1401"/>
      <c r="DQ51" s="1401"/>
      <c r="DR51" s="1400">
        <f>IF(SUM(C51:P51)=0,0,(AE51*10/SUM(C51:P51)/2)*AE51/21)</f>
        <v>0</v>
      </c>
      <c r="DS51" s="1427"/>
      <c r="DT51" s="1427"/>
      <c r="DU51" s="1427"/>
      <c r="DV51" s="1427"/>
      <c r="DW51" s="1427"/>
      <c r="DX51" s="1427"/>
      <c r="DY51" s="1427"/>
      <c r="DZ51" s="1427"/>
      <c r="EA51" s="1427"/>
      <c r="EB51" s="1427"/>
      <c r="EC51" s="1427"/>
      <c r="ED51" s="1427"/>
      <c r="EE51" s="1427"/>
      <c r="EF51" s="1427"/>
      <c r="EG51" s="1427"/>
      <c r="EH51" s="1427"/>
      <c r="EI51" s="1427"/>
      <c r="EJ51" s="1427"/>
      <c r="EK51" s="1427"/>
      <c r="EL51" s="1427"/>
      <c r="EM51" s="1427"/>
      <c r="EN51" s="1427"/>
      <c r="EO51" s="1427"/>
      <c r="EP51" s="1427"/>
      <c r="EQ51" s="1427"/>
      <c r="ER51" s="1427"/>
      <c r="ES51" s="1427"/>
      <c r="ET51" s="1427"/>
      <c r="EU51" s="1427"/>
      <c r="EV51" s="1427"/>
      <c r="EW51" s="1427"/>
      <c r="EX51" s="1427"/>
      <c r="EY51" s="1427"/>
      <c r="EZ51" s="1427"/>
      <c r="FA51" s="1427"/>
      <c r="FB51" s="1427"/>
      <c r="FC51" s="1427"/>
      <c r="FD51" s="1427"/>
      <c r="FE51" s="1427"/>
      <c r="FF51" s="1427"/>
      <c r="FG51" s="1427"/>
      <c r="FH51" s="1427"/>
      <c r="FI51" s="1427"/>
      <c r="FJ51" s="1427"/>
      <c r="FK51" s="1427"/>
      <c r="FL51" s="1427"/>
      <c r="FM51" s="1427"/>
      <c r="FN51" s="1427"/>
      <c r="FO51" s="1427"/>
      <c r="FP51" s="1427"/>
      <c r="FQ51" s="1427"/>
    </row>
    <row r="52" spans="1:173" s="1426" customFormat="1" ht="21.95" customHeight="1">
      <c r="A52" s="1443" t="str">
        <f>[10]points!B66</f>
        <v/>
      </c>
      <c r="B52" s="1442" t="str">
        <f>IF(A52="","",VLOOKUP(A52,[10]liste!AN:AQ,4,FALSE))</f>
        <v/>
      </c>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Y52" s="1441"/>
      <c r="Z52" s="1441"/>
      <c r="AA52" s="1441"/>
      <c r="AB52" s="1441"/>
      <c r="AC52" s="1441"/>
      <c r="AD52" s="1441"/>
      <c r="AE52" s="1440" t="str">
        <f>IF(B52="","",COUNTA(Q52:AD52))</f>
        <v/>
      </c>
      <c r="AF52" s="1439">
        <f>SUM(Q52:W52)</f>
        <v>0</v>
      </c>
      <c r="AG52" s="1439">
        <f>SUM(CQ52:CW52)</f>
        <v>0</v>
      </c>
      <c r="AH52" s="1438" t="str">
        <f>IF(AG52=0,"X",AF52/AG52)</f>
        <v>X</v>
      </c>
      <c r="AI52" s="1439">
        <f>SUM(X52:AD52)</f>
        <v>0</v>
      </c>
      <c r="AJ52" s="1439">
        <f>SUM(CX52:DD52)</f>
        <v>0</v>
      </c>
      <c r="AK52" s="1438" t="str">
        <f>IF(AJ52=0,"X",AI52/AJ52)</f>
        <v>X</v>
      </c>
      <c r="AL52" s="1439">
        <f>SUM(Q52:AD52)</f>
        <v>0</v>
      </c>
      <c r="AM52" s="1439">
        <f>SUM(CQ52:DD52)</f>
        <v>0</v>
      </c>
      <c r="AN52" s="1438" t="str">
        <f>IF(CQ52+CR52+CS52+CT52+CU52+CV52+CW52+CX52+CY52+CZ52+DA52+DB52+DC52+DD52=0,"",MINVERSE(CQ52+CR52+CS52+CT52+CU52+CV52+CW52+CX52+CY52+CZ52+DA52+DB52+DC52+DD52)*AL52)</f>
        <v/>
      </c>
      <c r="AO52" s="1437">
        <f ca="1">IF(B52="",10,B52+RAND()*0.01)</f>
        <v>10</v>
      </c>
      <c r="AP52" s="1437" t="str">
        <f ca="1">IF(AND(C52="",J52=""),"e",IF(J52="",IF($BD$1&lt;=7,C52+RAND()*0.01,"e"),J52+RAND()*0.01))</f>
        <v>e</v>
      </c>
      <c r="AQ52" s="1437" t="str">
        <f ca="1">IF(AND(D52="",K52=""),"e",IF(K52="",IF($BD$1&lt;=7,D52+RAND()*0.01,"e"),K52+RAND()*0.01))</f>
        <v>e</v>
      </c>
      <c r="AR52" s="1437" t="str">
        <f ca="1">IF(AND(E52="",L52=""),"e",IF(L52="",IF($BD$1&lt;=7,E52+RAND()*0.01,"e"),L52+RAND()*0.01))</f>
        <v>e</v>
      </c>
      <c r="AS52" s="1437" t="str">
        <f ca="1">IF(AND(F52="",M52=""),"e",IF(M52="",IF($BD$1&lt;=7,F52+RAND()*0.01,"e"),M52+RAND()*0.01))</f>
        <v>e</v>
      </c>
      <c r="AT52" s="1437" t="str">
        <f ca="1">IF(AND(G52="",N52=""),"e",IF(N52="",IF($BD$1&lt;=7,G52+RAND()*0.01,"e"),N52+RAND()*0.01))</f>
        <v>e</v>
      </c>
      <c r="AU52" s="1437" t="str">
        <f ca="1">IF(AND(H52="",O52=""),"e",IF(O52="",IF($BD$1&lt;=7,H52+RAND()*0.01,"e"),O52+RAND()*0.01))</f>
        <v>e</v>
      </c>
      <c r="AV52" s="1437" t="str">
        <f ca="1">IF(AND(I52="",P52=""),"e",IF(P52="",IF($BD$1&lt;=7,I52+RAND()*0.01,"e"),P52+RAND()*0.01))</f>
        <v>e</v>
      </c>
      <c r="AW52" s="1437"/>
      <c r="AX52" s="1436" t="str">
        <f>A52</f>
        <v/>
      </c>
      <c r="AY52" s="1580" t="str">
        <f>IF(OR($H$2&gt;0,$H$3&gt;0,$H$4&gt;0,$H$5&gt;0,$H$6&gt;0,$H$7&gt;0,$H$8&gt;0,$H$2&gt;0),"",IF(COUNTIF(C52:H52,"")&gt;=5,"",IF(COUNTIF(C52:H52,SMALL(C52:H52,1))&gt;=2,SMALL(C52:H52,1),SMALL(C52:H52,2))))</f>
        <v/>
      </c>
      <c r="AZ52" s="1581" t="str">
        <f>IF(COUNTIF(J52:O52,"")&gt;=5,"",IF(COUNTIF(J52:O52,SMALL(J52:O52,1))&gt;=2,SMALL(J52:O52,1),SMALL(J52:O52,2)))</f>
        <v/>
      </c>
      <c r="BA52" s="1401"/>
      <c r="BB52" s="1401"/>
      <c r="BC52" s="1451" t="s">
        <v>732</v>
      </c>
      <c r="BD52" s="1450">
        <v>3</v>
      </c>
      <c r="BE52" s="1450">
        <v>-2</v>
      </c>
      <c r="BF52" s="1450">
        <v>13</v>
      </c>
      <c r="BG52" s="1449">
        <v>-10</v>
      </c>
      <c r="BH52" s="1453" t="s">
        <v>731</v>
      </c>
      <c r="BI52" s="1444"/>
      <c r="BJ52" s="1444"/>
      <c r="BK52" s="1444"/>
      <c r="BL52" s="1444"/>
      <c r="BM52" s="1444"/>
      <c r="BN52" s="1444"/>
      <c r="BO52" s="1444"/>
      <c r="BP52" s="1452"/>
      <c r="BQ52" s="1401"/>
      <c r="BR52" s="1401"/>
      <c r="BS52" s="1401"/>
      <c r="BT52" s="1401"/>
      <c r="BU52" s="1434"/>
      <c r="BV52" s="1401"/>
      <c r="BW52" s="1401"/>
      <c r="BX52" s="1401"/>
      <c r="BY52" s="561">
        <f ca="1">IF($BD$1&lt;=7,COUNTIF($C52:$I52,"1")+RAND()*0.0001,COUNTIF($J52:$P52,"1")+RAND()*0.0001)</f>
        <v>2.2601507227391737E-5</v>
      </c>
      <c r="BZ52" s="561" t="str">
        <f ca="1">IF(BY52&lt;1,"",AX52)</f>
        <v/>
      </c>
      <c r="CA52" s="561">
        <f ca="1">IF($BD$1&lt;=7,COUNTIF($C52:$I52,"2")+RAND()*0.0001,COUNTIF($J52:$P52,"2")+RAND()*0.0001)</f>
        <v>2.8761828682486558E-5</v>
      </c>
      <c r="CB52" s="561" t="str">
        <f ca="1">IF(CA52&lt;1,"",AX52)</f>
        <v/>
      </c>
      <c r="CC52" s="561">
        <f ca="1">IF($BD$1&lt;=7,COUNTIF($C52:$I52,"3")+RAND()*0.0001,COUNTIF($J52:$P52,"3")+RAND()*0.0001)</f>
        <v>4.0083138326839487E-5</v>
      </c>
      <c r="CD52" s="561" t="str">
        <f ca="1">IF(CC52&lt;1,"",AX52)</f>
        <v/>
      </c>
      <c r="CE52" s="561">
        <f ca="1">IF($BD$1&lt;=7,COUNTIF($C52:$I52,"4")+RAND()*0.0001,COUNTIF($J52:$P52,"4")+RAND()*0.0001)</f>
        <v>1.8634354014470125E-5</v>
      </c>
      <c r="CF52" s="561" t="str">
        <f ca="1">IF(CE52&lt;1,"",AX52)</f>
        <v/>
      </c>
      <c r="CG52" s="561">
        <f ca="1">IF($BD$1&lt;=7,COUNTIF($C52:$I52,"5")+RAND()*0.0001,COUNTIF($J52:$P52,"5")+RAND()*0.0001)</f>
        <v>1.2355488401961356E-5</v>
      </c>
      <c r="CH52" s="561" t="str">
        <f ca="1">IF(CG52&lt;1,"",AX52)</f>
        <v/>
      </c>
      <c r="CI52" s="561">
        <f ca="1">IF($BD$1&lt;=7,COUNTIF($C52:$I52,"6")+RAND()*0.0001,COUNTIF($J52:$P52,"6")+RAND()*0.0001)</f>
        <v>1.2973842101798638E-5</v>
      </c>
      <c r="CJ52" s="561" t="str">
        <f ca="1">IF(CI52&lt;1,"",AX52)</f>
        <v/>
      </c>
      <c r="CK52" s="561">
        <f ca="1">IF($BD$1&lt;=7,COUNTIF($C52:$I52,"7")+RAND()*0.0001,COUNTIF($J52:$P52,"7")+RAND()*0.0001)</f>
        <v>2.8418392311905906E-6</v>
      </c>
      <c r="CL52" s="561" t="str">
        <f ca="1">IF(CK52&lt;1,"",AX52)</f>
        <v/>
      </c>
      <c r="CM52" s="561">
        <f ca="1">IF($BD$1&lt;=7,COUNTIF($C52:$I52,"8")+RAND()*0.0001,COUNTIF($J52:$P52,"8")+RAND()*0.0001)</f>
        <v>7.0558654466584968E-5</v>
      </c>
      <c r="CN52" s="561" t="str">
        <f ca="1">IF(CM52&lt;1,"",AX52)</f>
        <v/>
      </c>
      <c r="CO52" s="1401"/>
      <c r="CP52" s="1401" t="e">
        <f ca="1">AE52+RAND()*0.01</f>
        <v>#VALUE!</v>
      </c>
      <c r="CQ52" s="1433">
        <f>VLOOKUP(C52,$CO$2:$DF$11,18,FALSE)</f>
        <v>0</v>
      </c>
      <c r="CR52" s="1433">
        <f>VLOOKUP(D52,$CO$2:$DF$11,18,FALSE)</f>
        <v>0</v>
      </c>
      <c r="CS52" s="1433">
        <f>VLOOKUP(E52,$CO$2:$DF$11,18,FALSE)</f>
        <v>0</v>
      </c>
      <c r="CT52" s="1433">
        <f>VLOOKUP(F52,$CO$2:$DF$11,18,FALSE)</f>
        <v>0</v>
      </c>
      <c r="CU52" s="1433">
        <f>VLOOKUP(G52,$CO$2:$DF$11,18,FALSE)</f>
        <v>0</v>
      </c>
      <c r="CV52" s="1433">
        <f>VLOOKUP(H52,$CO$2:$DF$11,18,FALSE)</f>
        <v>0</v>
      </c>
      <c r="CW52" s="1433">
        <f>VLOOKUP(I52,$CO$2:$DF$11,18,FALSE)</f>
        <v>0</v>
      </c>
      <c r="CX52" s="1433">
        <f>VLOOKUP(J52,$CO$2:$DF$11,18,FALSE)</f>
        <v>0</v>
      </c>
      <c r="CY52" s="1433">
        <f>VLOOKUP(K52,$CO$2:$DF$11,18,FALSE)</f>
        <v>0</v>
      </c>
      <c r="CZ52" s="1433">
        <f>VLOOKUP(L52,$CO$2:$DF$11,18,FALSE)</f>
        <v>0</v>
      </c>
      <c r="DA52" s="1433">
        <f>VLOOKUP(M52,$CO$2:$DF$11,18,FALSE)</f>
        <v>0</v>
      </c>
      <c r="DB52" s="1433">
        <f>VLOOKUP(N52,$CO$2:$DF$11,18,FALSE)</f>
        <v>0</v>
      </c>
      <c r="DC52" s="1433">
        <f>VLOOKUP(O52,$CO$2:$DF$11,18,FALSE)</f>
        <v>0</v>
      </c>
      <c r="DD52" s="1433">
        <f>VLOOKUP(P52,$CO$2:$DF$11,18,FALSE)</f>
        <v>0</v>
      </c>
      <c r="DE52" s="1432">
        <f>IF(AND(DI52=0,A52=""),AL52,IF(DI52=0,AL52+VLOOKUP(AX52,[10]Critérium!$AC$49:$DE$100,81,FALSE),AL52+VLOOKUP(AX52,[10]Critérium!$B$6:$T$22,19,FALSE)+VLOOKUP(AX52,[10]Critérium!$AC$49:$DE$100,81,FALSE)))</f>
        <v>0</v>
      </c>
      <c r="DF52" s="1431"/>
      <c r="DG52" s="1429">
        <f>IF(AND(DI52=0,A52=""),AM52,IF(DI52=0,AM52+VLOOKUP(AX52,[10]Critérium!$AC$49:$DH$100,84,FALSE),AM52+VLOOKUP(AX52,[10]Critérium!$B$6:$V$22,21,FALSE)+VLOOKUP(AX52,[10]Critérium!$AC$49:$DH$100,84,FALSE)))</f>
        <v>0</v>
      </c>
      <c r="DH52" s="1430">
        <f ca="1">IF(DG52=0,0,(DE52/DG52+RAND()*0.0001))</f>
        <v>0</v>
      </c>
      <c r="DI52" s="1429">
        <f>VLOOKUP(AX52,[10]liste!AN:AR,5,FALSE)</f>
        <v>0</v>
      </c>
      <c r="DJ52" s="1427">
        <f ca="1">DG52+RAND()</f>
        <v>1.3431439693253777E-2</v>
      </c>
      <c r="DK52" s="1427" t="str">
        <f>A52</f>
        <v/>
      </c>
      <c r="DL52" s="1427"/>
      <c r="DM52" s="1428">
        <f>HLOOKUP($DM$1,$C$1:$P$70,52,FALSE)</f>
        <v>0</v>
      </c>
      <c r="DN52" s="1428">
        <f>HLOOKUP($DN$1,$Q$1:$AD$70,52,FALSE)</f>
        <v>0</v>
      </c>
      <c r="DO52" s="1401"/>
      <c r="DP52" s="1401"/>
      <c r="DQ52" s="1401"/>
      <c r="DR52" s="1400">
        <f>IF(SUM(C52:P52)=0,0,(AE52*10/SUM(C52:P52)/2)*AE52/21)</f>
        <v>0</v>
      </c>
      <c r="DS52" s="1427"/>
      <c r="DT52" s="1427"/>
      <c r="DU52" s="1427"/>
      <c r="DV52" s="1427"/>
      <c r="DW52" s="1427"/>
      <c r="DX52" s="1427"/>
      <c r="DY52" s="1427"/>
      <c r="DZ52" s="1427"/>
      <c r="EA52" s="1427"/>
      <c r="EB52" s="1427"/>
      <c r="EC52" s="1427"/>
      <c r="ED52" s="1427"/>
      <c r="EE52" s="1427"/>
      <c r="EF52" s="1427"/>
      <c r="EG52" s="1427"/>
      <c r="EH52" s="1427"/>
      <c r="EI52" s="1427"/>
      <c r="EJ52" s="1427"/>
      <c r="EK52" s="1427"/>
      <c r="EL52" s="1427"/>
      <c r="EM52" s="1427"/>
      <c r="EN52" s="1427"/>
      <c r="EO52" s="1427"/>
      <c r="EP52" s="1427"/>
      <c r="EQ52" s="1427"/>
      <c r="ER52" s="1427"/>
      <c r="ES52" s="1427"/>
      <c r="ET52" s="1427"/>
      <c r="EU52" s="1427"/>
      <c r="EV52" s="1427"/>
      <c r="EW52" s="1427"/>
      <c r="EX52" s="1427"/>
      <c r="EY52" s="1427"/>
      <c r="EZ52" s="1427"/>
      <c r="FA52" s="1427"/>
      <c r="FB52" s="1427"/>
      <c r="FC52" s="1427"/>
      <c r="FD52" s="1427"/>
      <c r="FE52" s="1427"/>
      <c r="FF52" s="1427"/>
      <c r="FG52" s="1427"/>
      <c r="FH52" s="1427"/>
      <c r="FI52" s="1427"/>
      <c r="FJ52" s="1427"/>
      <c r="FK52" s="1427"/>
      <c r="FL52" s="1427"/>
      <c r="FM52" s="1427"/>
      <c r="FN52" s="1427"/>
      <c r="FO52" s="1427"/>
      <c r="FP52" s="1427"/>
      <c r="FQ52" s="1427"/>
    </row>
    <row r="53" spans="1:173" s="1426" customFormat="1" ht="21.95" customHeight="1">
      <c r="A53" s="1443" t="str">
        <f>[10]points!B67</f>
        <v/>
      </c>
      <c r="B53" s="1442" t="str">
        <f>IF(A53="","",VLOOKUP(A53,[10]liste!AN:AQ,4,FALSE))</f>
        <v/>
      </c>
      <c r="C53" s="1441"/>
      <c r="D53" s="1441"/>
      <c r="E53" s="1441"/>
      <c r="F53" s="1441"/>
      <c r="G53" s="1441"/>
      <c r="H53" s="1441"/>
      <c r="I53" s="1441"/>
      <c r="J53" s="1441"/>
      <c r="K53" s="1441"/>
      <c r="L53" s="1441"/>
      <c r="M53" s="1441"/>
      <c r="N53" s="1441"/>
      <c r="O53" s="1441"/>
      <c r="P53" s="1441"/>
      <c r="Q53" s="1441"/>
      <c r="R53" s="1441"/>
      <c r="S53" s="1441"/>
      <c r="T53" s="1441"/>
      <c r="U53" s="1441"/>
      <c r="V53" s="1441"/>
      <c r="W53" s="1441"/>
      <c r="X53" s="1441"/>
      <c r="Y53" s="1441"/>
      <c r="Z53" s="1441"/>
      <c r="AA53" s="1441"/>
      <c r="AB53" s="1441"/>
      <c r="AC53" s="1441"/>
      <c r="AD53" s="1441"/>
      <c r="AE53" s="1440" t="str">
        <f>IF(B53="","",COUNTA(Q53:AD53))</f>
        <v/>
      </c>
      <c r="AF53" s="1439">
        <f>SUM(Q53:W53)</f>
        <v>0</v>
      </c>
      <c r="AG53" s="1439">
        <f>SUM(CQ53:CW53)</f>
        <v>0</v>
      </c>
      <c r="AH53" s="1438" t="str">
        <f>IF(AG53=0,"X",AF53/AG53)</f>
        <v>X</v>
      </c>
      <c r="AI53" s="1439">
        <f>SUM(X53:AD53)</f>
        <v>0</v>
      </c>
      <c r="AJ53" s="1439">
        <f>SUM(CX53:DD53)</f>
        <v>0</v>
      </c>
      <c r="AK53" s="1438" t="str">
        <f>IF(AJ53=0,"X",AI53/AJ53)</f>
        <v>X</v>
      </c>
      <c r="AL53" s="1439">
        <f>SUM(Q53:AD53)</f>
        <v>0</v>
      </c>
      <c r="AM53" s="1439">
        <f>SUM(CQ53:DD53)</f>
        <v>0</v>
      </c>
      <c r="AN53" s="1438" t="str">
        <f>IF(CQ53+CR53+CS53+CT53+CU53+CV53+CW53+CX53+CY53+CZ53+DA53+DB53+DC53+DD53=0,"",MINVERSE(CQ53+CR53+CS53+CT53+CU53+CV53+CW53+CX53+CY53+CZ53+DA53+DB53+DC53+DD53)*AL53)</f>
        <v/>
      </c>
      <c r="AO53" s="1437">
        <f ca="1">IF(B53="",10,B53+RAND()*0.01)</f>
        <v>10</v>
      </c>
      <c r="AP53" s="1437" t="str">
        <f ca="1">IF(AND(C53="",J53=""),"e",IF(J53="",IF($BD$1&lt;=7,C53+RAND()*0.01,"e"),J53+RAND()*0.01))</f>
        <v>e</v>
      </c>
      <c r="AQ53" s="1437" t="str">
        <f ca="1">IF(AND(D53="",K53=""),"e",IF(K53="",IF($BD$1&lt;=7,D53+RAND()*0.01,"e"),K53+RAND()*0.01))</f>
        <v>e</v>
      </c>
      <c r="AR53" s="1437" t="str">
        <f ca="1">IF(AND(E53="",L53=""),"e",IF(L53="",IF($BD$1&lt;=7,E53+RAND()*0.01,"e"),L53+RAND()*0.01))</f>
        <v>e</v>
      </c>
      <c r="AS53" s="1437" t="str">
        <f ca="1">IF(AND(F53="",M53=""),"e",IF(M53="",IF($BD$1&lt;=7,F53+RAND()*0.01,"e"),M53+RAND()*0.01))</f>
        <v>e</v>
      </c>
      <c r="AT53" s="1437" t="str">
        <f ca="1">IF(AND(G53="",N53=""),"e",IF(N53="",IF($BD$1&lt;=7,G53+RAND()*0.01,"e"),N53+RAND()*0.01))</f>
        <v>e</v>
      </c>
      <c r="AU53" s="1437" t="str">
        <f ca="1">IF(AND(H53="",O53=""),"e",IF(O53="",IF($BD$1&lt;=7,H53+RAND()*0.01,"e"),O53+RAND()*0.01))</f>
        <v>e</v>
      </c>
      <c r="AV53" s="1437" t="str">
        <f ca="1">IF(AND(I53="",P53=""),"e",IF(P53="",IF($BD$1&lt;=7,I53+RAND()*0.01,"e"),P53+RAND()*0.01))</f>
        <v>e</v>
      </c>
      <c r="AW53" s="1437"/>
      <c r="AX53" s="1436" t="str">
        <f>A53</f>
        <v/>
      </c>
      <c r="AY53" s="1580" t="str">
        <f>IF(OR($H$2&gt;0,$H$3&gt;0,$H$4&gt;0,$H$5&gt;0,$H$6&gt;0,$H$7&gt;0,$H$8&gt;0,$H$2&gt;0),"",IF(COUNTIF(C53:H53,"")&gt;=5,"",IF(COUNTIF(C53:H53,SMALL(C53:H53,1))&gt;=2,SMALL(C53:H53,1),SMALL(C53:H53,2))))</f>
        <v/>
      </c>
      <c r="AZ53" s="1581" t="str">
        <f>IF(COUNTIF(J53:O53,"")&gt;=5,"",IF(COUNTIF(J53:O53,SMALL(J53:O53,1))&gt;=2,SMALL(J53:O53,1),SMALL(J53:O53,2)))</f>
        <v/>
      </c>
      <c r="BA53" s="1401"/>
      <c r="BB53" s="1401"/>
      <c r="BC53" s="1451" t="s">
        <v>730</v>
      </c>
      <c r="BD53" s="1450">
        <v>2</v>
      </c>
      <c r="BE53" s="1450">
        <v>-1</v>
      </c>
      <c r="BF53" s="1450">
        <v>17</v>
      </c>
      <c r="BG53" s="1449">
        <v>-12.5</v>
      </c>
      <c r="BH53" s="1453" t="s">
        <v>729</v>
      </c>
      <c r="BI53" s="1444"/>
      <c r="BJ53" s="1444"/>
      <c r="BK53" s="1444"/>
      <c r="BL53" s="1444"/>
      <c r="BM53" s="1444"/>
      <c r="BN53" s="1444"/>
      <c r="BO53" s="1444"/>
      <c r="BP53" s="1452"/>
      <c r="BQ53" s="1401"/>
      <c r="BR53" s="1401"/>
      <c r="BS53" s="1401"/>
      <c r="BT53" s="1401"/>
      <c r="BU53" s="1434"/>
      <c r="BV53" s="1401"/>
      <c r="BW53" s="1401"/>
      <c r="BX53" s="1401"/>
      <c r="BY53" s="561">
        <f ca="1">IF($BD$1&lt;=7,COUNTIF($C53:$I53,"1")+RAND()*0.0001,COUNTIF($J53:$P53,"1")+RAND()*0.0001)</f>
        <v>8.2000782873643572E-5</v>
      </c>
      <c r="BZ53" s="561" t="str">
        <f ca="1">IF(BY53&lt;1,"",AX53)</f>
        <v/>
      </c>
      <c r="CA53" s="561">
        <f ca="1">IF($BD$1&lt;=7,COUNTIF($C53:$I53,"2")+RAND()*0.0001,COUNTIF($J53:$P53,"2")+RAND()*0.0001)</f>
        <v>5.0329155855107356E-5</v>
      </c>
      <c r="CB53" s="561" t="str">
        <f ca="1">IF(CA53&lt;1,"",AX53)</f>
        <v/>
      </c>
      <c r="CC53" s="561">
        <f ca="1">IF($BD$1&lt;=7,COUNTIF($C53:$I53,"3")+RAND()*0.0001,COUNTIF($J53:$P53,"3")+RAND()*0.0001)</f>
        <v>9.9066119118025654E-5</v>
      </c>
      <c r="CD53" s="561" t="str">
        <f ca="1">IF(CC53&lt;1,"",AX53)</f>
        <v/>
      </c>
      <c r="CE53" s="561">
        <f ca="1">IF($BD$1&lt;=7,COUNTIF($C53:$I53,"4")+RAND()*0.0001,COUNTIF($J53:$P53,"4")+RAND()*0.0001)</f>
        <v>2.7590490877975229E-5</v>
      </c>
      <c r="CF53" s="561" t="str">
        <f ca="1">IF(CE53&lt;1,"",AX53)</f>
        <v/>
      </c>
      <c r="CG53" s="561">
        <f ca="1">IF($BD$1&lt;=7,COUNTIF($C53:$I53,"5")+RAND()*0.0001,COUNTIF($J53:$P53,"5")+RAND()*0.0001)</f>
        <v>1.770314575913401E-5</v>
      </c>
      <c r="CH53" s="561" t="str">
        <f ca="1">IF(CG53&lt;1,"",AX53)</f>
        <v/>
      </c>
      <c r="CI53" s="561">
        <f ca="1">IF($BD$1&lt;=7,COUNTIF($C53:$I53,"6")+RAND()*0.0001,COUNTIF($J53:$P53,"6")+RAND()*0.0001)</f>
        <v>2.3884433354345305E-5</v>
      </c>
      <c r="CJ53" s="561" t="str">
        <f ca="1">IF(CI53&lt;1,"",AX53)</f>
        <v/>
      </c>
      <c r="CK53" s="561">
        <f ca="1">IF($BD$1&lt;=7,COUNTIF($C53:$I53,"7")+RAND()*0.0001,COUNTIF($J53:$P53,"7")+RAND()*0.0001)</f>
        <v>5.1273626206896506E-5</v>
      </c>
      <c r="CL53" s="561" t="str">
        <f ca="1">IF(CK53&lt;1,"",AX53)</f>
        <v/>
      </c>
      <c r="CM53" s="561">
        <f ca="1">IF($BD$1&lt;=7,COUNTIF($C53:$I53,"8")+RAND()*0.0001,COUNTIF($J53:$P53,"8")+RAND()*0.0001)</f>
        <v>1.2630240904567636E-5</v>
      </c>
      <c r="CN53" s="561" t="str">
        <f ca="1">IF(CM53&lt;1,"",AX53)</f>
        <v/>
      </c>
      <c r="CO53" s="1401"/>
      <c r="CP53" s="1401" t="e">
        <f ca="1">AE53+RAND()*0.01</f>
        <v>#VALUE!</v>
      </c>
      <c r="CQ53" s="1433">
        <f>VLOOKUP(C53,$CO$2:$DF$11,18,FALSE)</f>
        <v>0</v>
      </c>
      <c r="CR53" s="1433">
        <f>VLOOKUP(D53,$CO$2:$DF$11,18,FALSE)</f>
        <v>0</v>
      </c>
      <c r="CS53" s="1433">
        <f>VLOOKUP(E53,$CO$2:$DF$11,18,FALSE)</f>
        <v>0</v>
      </c>
      <c r="CT53" s="1433">
        <f>VLOOKUP(F53,$CO$2:$DF$11,18,FALSE)</f>
        <v>0</v>
      </c>
      <c r="CU53" s="1433">
        <f>VLOOKUP(G53,$CO$2:$DF$11,18,FALSE)</f>
        <v>0</v>
      </c>
      <c r="CV53" s="1433">
        <f>VLOOKUP(H53,$CO$2:$DF$11,18,FALSE)</f>
        <v>0</v>
      </c>
      <c r="CW53" s="1433">
        <f>VLOOKUP(I53,$CO$2:$DF$11,18,FALSE)</f>
        <v>0</v>
      </c>
      <c r="CX53" s="1433">
        <f>VLOOKUP(J53,$CO$2:$DF$11,18,FALSE)</f>
        <v>0</v>
      </c>
      <c r="CY53" s="1433">
        <f>VLOOKUP(K53,$CO$2:$DF$11,18,FALSE)</f>
        <v>0</v>
      </c>
      <c r="CZ53" s="1433">
        <f>VLOOKUP(L53,$CO$2:$DF$11,18,FALSE)</f>
        <v>0</v>
      </c>
      <c r="DA53" s="1433">
        <f>VLOOKUP(M53,$CO$2:$DF$11,18,FALSE)</f>
        <v>0</v>
      </c>
      <c r="DB53" s="1433">
        <f>VLOOKUP(N53,$CO$2:$DF$11,18,FALSE)</f>
        <v>0</v>
      </c>
      <c r="DC53" s="1433">
        <f>VLOOKUP(O53,$CO$2:$DF$11,18,FALSE)</f>
        <v>0</v>
      </c>
      <c r="DD53" s="1433">
        <f>VLOOKUP(P53,$CO$2:$DF$11,18,FALSE)</f>
        <v>0</v>
      </c>
      <c r="DE53" s="1432">
        <f>IF(AND(DI53=0,A53=""),AL53,IF(DI53=0,AL53+VLOOKUP(AX53,[10]Critérium!$AC$49:$DE$100,81,FALSE),AL53+VLOOKUP(AX53,[10]Critérium!$B$6:$T$22,19,FALSE)+VLOOKUP(AX53,[10]Critérium!$AC$49:$DE$100,81,FALSE)))</f>
        <v>0</v>
      </c>
      <c r="DF53" s="1431"/>
      <c r="DG53" s="1429">
        <f>IF(AND(DI53=0,A53=""),AM53,IF(DI53=0,AM53+VLOOKUP(AX53,[10]Critérium!$AC$49:$DH$100,84,FALSE),AM53+VLOOKUP(AX53,[10]Critérium!$B$6:$V$22,21,FALSE)+VLOOKUP(AX53,[10]Critérium!$AC$49:$DH$100,84,FALSE)))</f>
        <v>0</v>
      </c>
      <c r="DH53" s="1430">
        <f ca="1">IF(DG53=0,0,(DE53/DG53+RAND()*0.0001))</f>
        <v>0</v>
      </c>
      <c r="DI53" s="1429">
        <f>VLOOKUP(AX53,[10]liste!AN:AR,5,FALSE)</f>
        <v>0</v>
      </c>
      <c r="DJ53" s="1427">
        <f ca="1">DG53+RAND()</f>
        <v>0.78618286146605387</v>
      </c>
      <c r="DK53" s="1427" t="str">
        <f>A53</f>
        <v/>
      </c>
      <c r="DL53" s="1427"/>
      <c r="DM53" s="1428">
        <f>HLOOKUP($DM$1,$C$1:$P$70,53,FALSE)</f>
        <v>0</v>
      </c>
      <c r="DN53" s="1428">
        <f>HLOOKUP($DN$1,$Q$1:$AD$70,53,FALSE)</f>
        <v>0</v>
      </c>
      <c r="DO53" s="1401"/>
      <c r="DP53" s="1401"/>
      <c r="DQ53" s="1401"/>
      <c r="DR53" s="1400">
        <f>IF(SUM(C53:P53)=0,0,(AE53*10/SUM(C53:P53)/2)*AE53/21)</f>
        <v>0</v>
      </c>
      <c r="DS53" s="1427"/>
      <c r="DT53" s="1427"/>
      <c r="DU53" s="1427"/>
      <c r="DV53" s="1427"/>
      <c r="DW53" s="1427"/>
      <c r="DX53" s="1427"/>
      <c r="DY53" s="1427"/>
      <c r="DZ53" s="1427"/>
      <c r="EA53" s="1427"/>
      <c r="EB53" s="1427"/>
      <c r="EC53" s="1427"/>
      <c r="ED53" s="1427"/>
      <c r="EE53" s="1427"/>
      <c r="EF53" s="1427"/>
      <c r="EG53" s="1427"/>
      <c r="EH53" s="1427"/>
      <c r="EI53" s="1427"/>
      <c r="EJ53" s="1427"/>
      <c r="EK53" s="1427"/>
      <c r="EL53" s="1427"/>
      <c r="EM53" s="1427"/>
      <c r="EN53" s="1427"/>
      <c r="EO53" s="1427"/>
      <c r="EP53" s="1427"/>
      <c r="EQ53" s="1427"/>
      <c r="ER53" s="1427"/>
      <c r="ES53" s="1427"/>
      <c r="ET53" s="1427"/>
      <c r="EU53" s="1427"/>
      <c r="EV53" s="1427"/>
      <c r="EW53" s="1427"/>
      <c r="EX53" s="1427"/>
      <c r="EY53" s="1427"/>
      <c r="EZ53" s="1427"/>
      <c r="FA53" s="1427"/>
      <c r="FB53" s="1427"/>
      <c r="FC53" s="1427"/>
      <c r="FD53" s="1427"/>
      <c r="FE53" s="1427"/>
      <c r="FF53" s="1427"/>
      <c r="FG53" s="1427"/>
      <c r="FH53" s="1427"/>
      <c r="FI53" s="1427"/>
      <c r="FJ53" s="1427"/>
      <c r="FK53" s="1427"/>
      <c r="FL53" s="1427"/>
      <c r="FM53" s="1427"/>
      <c r="FN53" s="1427"/>
      <c r="FO53" s="1427"/>
      <c r="FP53" s="1427"/>
      <c r="FQ53" s="1427"/>
    </row>
    <row r="54" spans="1:173" s="1426" customFormat="1" ht="21.95" customHeight="1">
      <c r="A54" s="1443" t="str">
        <f>[10]points!B68</f>
        <v/>
      </c>
      <c r="B54" s="1442" t="str">
        <f>IF(A54="","",VLOOKUP(A54,[10]liste!AN:AQ,4,FALSE))</f>
        <v/>
      </c>
      <c r="C54" s="1441"/>
      <c r="D54" s="1441"/>
      <c r="E54" s="1441"/>
      <c r="F54" s="1441"/>
      <c r="G54" s="1441"/>
      <c r="H54" s="1441"/>
      <c r="I54" s="1441"/>
      <c r="J54" s="1441"/>
      <c r="K54" s="1441"/>
      <c r="L54" s="1441"/>
      <c r="M54" s="1441"/>
      <c r="N54" s="1441"/>
      <c r="O54" s="1441"/>
      <c r="P54" s="1441"/>
      <c r="Q54" s="1441"/>
      <c r="R54" s="1441"/>
      <c r="S54" s="1441"/>
      <c r="T54" s="1441"/>
      <c r="U54" s="1441"/>
      <c r="V54" s="1441"/>
      <c r="W54" s="1441"/>
      <c r="X54" s="1441"/>
      <c r="Y54" s="1441"/>
      <c r="Z54" s="1441"/>
      <c r="AA54" s="1441"/>
      <c r="AB54" s="1441"/>
      <c r="AC54" s="1441"/>
      <c r="AD54" s="1441"/>
      <c r="AE54" s="1440" t="str">
        <f>IF(B54="","",COUNTA(Q54:AD54))</f>
        <v/>
      </c>
      <c r="AF54" s="1439">
        <f>SUM(Q54:W54)</f>
        <v>0</v>
      </c>
      <c r="AG54" s="1439">
        <f>SUM(CQ54:CW54)</f>
        <v>0</v>
      </c>
      <c r="AH54" s="1438" t="str">
        <f>IF(AG54=0,"X",AF54/AG54)</f>
        <v>X</v>
      </c>
      <c r="AI54" s="1439">
        <f>SUM(X54:AD54)</f>
        <v>0</v>
      </c>
      <c r="AJ54" s="1439">
        <f>SUM(CX54:DD54)</f>
        <v>0</v>
      </c>
      <c r="AK54" s="1438" t="str">
        <f>IF(AJ54=0,"X",AI54/AJ54)</f>
        <v>X</v>
      </c>
      <c r="AL54" s="1439">
        <f>SUM(Q54:AD54)</f>
        <v>0</v>
      </c>
      <c r="AM54" s="1439">
        <f>SUM(CQ54:DD54)</f>
        <v>0</v>
      </c>
      <c r="AN54" s="1438" t="str">
        <f>IF(CQ54+CR54+CS54+CT54+CU54+CV54+CW54+CX54+CY54+CZ54+DA54+DB54+DC54+DD54=0,"",MINVERSE(CQ54+CR54+CS54+CT54+CU54+CV54+CW54+CX54+CY54+CZ54+DA54+DB54+DC54+DD54)*AL54)</f>
        <v/>
      </c>
      <c r="AO54" s="1437">
        <f ca="1">IF(B54="",10,B54+RAND()*0.01)</f>
        <v>10</v>
      </c>
      <c r="AP54" s="1437" t="str">
        <f ca="1">IF(AND(C54="",J54=""),"e",IF(J54="",IF($BD$1&lt;=7,C54+RAND()*0.01,"e"),J54+RAND()*0.01))</f>
        <v>e</v>
      </c>
      <c r="AQ54" s="1437" t="str">
        <f ca="1">IF(AND(D54="",K54=""),"e",IF(K54="",IF($BD$1&lt;=7,D54+RAND()*0.01,"e"),K54+RAND()*0.01))</f>
        <v>e</v>
      </c>
      <c r="AR54" s="1437" t="str">
        <f ca="1">IF(AND(E54="",L54=""),"e",IF(L54="",IF($BD$1&lt;=7,E54+RAND()*0.01,"e"),L54+RAND()*0.01))</f>
        <v>e</v>
      </c>
      <c r="AS54" s="1437" t="str">
        <f ca="1">IF(AND(F54="",M54=""),"e",IF(M54="",IF($BD$1&lt;=7,F54+RAND()*0.01,"e"),M54+RAND()*0.01))</f>
        <v>e</v>
      </c>
      <c r="AT54" s="1437" t="str">
        <f ca="1">IF(AND(G54="",N54=""),"e",IF(N54="",IF($BD$1&lt;=7,G54+RAND()*0.01,"e"),N54+RAND()*0.01))</f>
        <v>e</v>
      </c>
      <c r="AU54" s="1437" t="str">
        <f ca="1">IF(AND(H54="",O54=""),"e",IF(O54="",IF($BD$1&lt;=7,H54+RAND()*0.01,"e"),O54+RAND()*0.01))</f>
        <v>e</v>
      </c>
      <c r="AV54" s="1437" t="str">
        <f ca="1">IF(AND(I54="",P54=""),"e",IF(P54="",IF($BD$1&lt;=7,I54+RAND()*0.01,"e"),P54+RAND()*0.01))</f>
        <v>e</v>
      </c>
      <c r="AW54" s="1437"/>
      <c r="AX54" s="1436" t="str">
        <f>A54</f>
        <v/>
      </c>
      <c r="AY54" s="1580" t="str">
        <f>IF(OR($H$2&gt;0,$H$3&gt;0,$H$4&gt;0,$H$5&gt;0,$H$6&gt;0,$H$7&gt;0,$H$8&gt;0,$H$2&gt;0),"",IF(COUNTIF(C54:H54,"")&gt;=5,"",IF(COUNTIF(C54:H54,SMALL(C54:H54,1))&gt;=2,SMALL(C54:H54,1),SMALL(C54:H54,2))))</f>
        <v/>
      </c>
      <c r="AZ54" s="1581" t="str">
        <f>IF(COUNTIF(J54:O54,"")&gt;=5,"",IF(COUNTIF(J54:O54,SMALL(J54:O54,1))&gt;=2,SMALL(J54:O54,1),SMALL(J54:O54,2)))</f>
        <v/>
      </c>
      <c r="BA54" s="1401"/>
      <c r="BB54" s="1401"/>
      <c r="BC54" s="1451" t="s">
        <v>728</v>
      </c>
      <c r="BD54" s="1450">
        <v>1</v>
      </c>
      <c r="BE54" s="1450">
        <v>-0.5</v>
      </c>
      <c r="BF54" s="1450">
        <v>22</v>
      </c>
      <c r="BG54" s="1449">
        <v>-16</v>
      </c>
      <c r="BH54" s="1453" t="s">
        <v>727</v>
      </c>
      <c r="BI54" s="1444"/>
      <c r="BJ54" s="1444"/>
      <c r="BK54" s="1444"/>
      <c r="BL54" s="1444"/>
      <c r="BM54" s="1444"/>
      <c r="BN54" s="1444"/>
      <c r="BO54" s="1444"/>
      <c r="BP54" s="1452"/>
      <c r="BQ54" s="1401"/>
      <c r="BR54" s="1401"/>
      <c r="BS54" s="1401"/>
      <c r="BT54" s="1401"/>
      <c r="BU54" s="1434"/>
      <c r="BV54" s="1401"/>
      <c r="BW54" s="1401"/>
      <c r="BX54" s="1401"/>
      <c r="BY54" s="561">
        <f ca="1">IF($BD$1&lt;=7,COUNTIF($C54:$I54,"1")+RAND()*0.0001,COUNTIF($J54:$P54,"1")+RAND()*0.0001)</f>
        <v>8.0377448992401994E-5</v>
      </c>
      <c r="BZ54" s="561" t="str">
        <f ca="1">IF(BY54&lt;1,"",AX54)</f>
        <v/>
      </c>
      <c r="CA54" s="561">
        <f ca="1">IF($BD$1&lt;=7,COUNTIF($C54:$I54,"2")+RAND()*0.0001,COUNTIF($J54:$P54,"2")+RAND()*0.0001)</f>
        <v>7.3878488874256479E-5</v>
      </c>
      <c r="CB54" s="561" t="str">
        <f ca="1">IF(CA54&lt;1,"",AX54)</f>
        <v/>
      </c>
      <c r="CC54" s="561">
        <f ca="1">IF($BD$1&lt;=7,COUNTIF($C54:$I54,"3")+RAND()*0.0001,COUNTIF($J54:$P54,"3")+RAND()*0.0001)</f>
        <v>3.1084942054321184E-5</v>
      </c>
      <c r="CD54" s="561" t="str">
        <f ca="1">IF(CC54&lt;1,"",AX54)</f>
        <v/>
      </c>
      <c r="CE54" s="561">
        <f ca="1">IF($BD$1&lt;=7,COUNTIF($C54:$I54,"4")+RAND()*0.0001,COUNTIF($J54:$P54,"4")+RAND()*0.0001)</f>
        <v>9.7252538500191131E-5</v>
      </c>
      <c r="CF54" s="561" t="str">
        <f ca="1">IF(CE54&lt;1,"",AX54)</f>
        <v/>
      </c>
      <c r="CG54" s="561">
        <f ca="1">IF($BD$1&lt;=7,COUNTIF($C54:$I54,"5")+RAND()*0.0001,COUNTIF($J54:$P54,"5")+RAND()*0.0001)</f>
        <v>9.9323030758978397E-5</v>
      </c>
      <c r="CH54" s="561" t="str">
        <f ca="1">IF(CG54&lt;1,"",AX54)</f>
        <v/>
      </c>
      <c r="CI54" s="561">
        <f ca="1">IF($BD$1&lt;=7,COUNTIF($C54:$I54,"6")+RAND()*0.0001,COUNTIF($J54:$P54,"6")+RAND()*0.0001)</f>
        <v>6.0168097186886066E-5</v>
      </c>
      <c r="CJ54" s="561" t="str">
        <f ca="1">IF(CI54&lt;1,"",AX54)</f>
        <v/>
      </c>
      <c r="CK54" s="561">
        <f ca="1">IF($BD$1&lt;=7,COUNTIF($C54:$I54,"7")+RAND()*0.0001,COUNTIF($J54:$P54,"7")+RAND()*0.0001)</f>
        <v>3.2417765162456973E-5</v>
      </c>
      <c r="CL54" s="561" t="str">
        <f ca="1">IF(CK54&lt;1,"",AX54)</f>
        <v/>
      </c>
      <c r="CM54" s="561">
        <f ca="1">IF($BD$1&lt;=7,COUNTIF($C54:$I54,"8")+RAND()*0.0001,COUNTIF($J54:$P54,"8")+RAND()*0.0001)</f>
        <v>3.4922007630585788E-5</v>
      </c>
      <c r="CN54" s="561" t="str">
        <f ca="1">IF(CM54&lt;1,"",AX54)</f>
        <v/>
      </c>
      <c r="CO54" s="1401"/>
      <c r="CP54" s="1401" t="e">
        <f ca="1">AE54+RAND()*0.01</f>
        <v>#VALUE!</v>
      </c>
      <c r="CQ54" s="1433">
        <f>VLOOKUP(C54,$CO$2:$DF$11,18,FALSE)</f>
        <v>0</v>
      </c>
      <c r="CR54" s="1433">
        <f>VLOOKUP(D54,$CO$2:$DF$11,18,FALSE)</f>
        <v>0</v>
      </c>
      <c r="CS54" s="1433">
        <f>VLOOKUP(E54,$CO$2:$DF$11,18,FALSE)</f>
        <v>0</v>
      </c>
      <c r="CT54" s="1433">
        <f>VLOOKUP(F54,$CO$2:$DF$11,18,FALSE)</f>
        <v>0</v>
      </c>
      <c r="CU54" s="1433">
        <f>VLOOKUP(G54,$CO$2:$DF$11,18,FALSE)</f>
        <v>0</v>
      </c>
      <c r="CV54" s="1433">
        <f>VLOOKUP(H54,$CO$2:$DF$11,18,FALSE)</f>
        <v>0</v>
      </c>
      <c r="CW54" s="1433">
        <f>VLOOKUP(I54,$CO$2:$DF$11,18,FALSE)</f>
        <v>0</v>
      </c>
      <c r="CX54" s="1433">
        <f>VLOOKUP(J54,$CO$2:$DF$11,18,FALSE)</f>
        <v>0</v>
      </c>
      <c r="CY54" s="1433">
        <f>VLOOKUP(K54,$CO$2:$DF$11,18,FALSE)</f>
        <v>0</v>
      </c>
      <c r="CZ54" s="1433">
        <f>VLOOKUP(L54,$CO$2:$DF$11,18,FALSE)</f>
        <v>0</v>
      </c>
      <c r="DA54" s="1433">
        <f>VLOOKUP(M54,$CO$2:$DF$11,18,FALSE)</f>
        <v>0</v>
      </c>
      <c r="DB54" s="1433">
        <f>VLOOKUP(N54,$CO$2:$DF$11,18,FALSE)</f>
        <v>0</v>
      </c>
      <c r="DC54" s="1433">
        <f>VLOOKUP(O54,$CO$2:$DF$11,18,FALSE)</f>
        <v>0</v>
      </c>
      <c r="DD54" s="1433">
        <f>VLOOKUP(P54,$CO$2:$DF$11,18,FALSE)</f>
        <v>0</v>
      </c>
      <c r="DE54" s="1432">
        <f>IF(AND(DI54=0,A54=""),AL54,IF(DI54=0,AL54+VLOOKUP(AX54,[10]Critérium!$AC$49:$DE$100,81,FALSE),AL54+VLOOKUP(AX54,[10]Critérium!$B$6:$T$22,19,FALSE)+VLOOKUP(AX54,[10]Critérium!$AC$49:$DE$100,81,FALSE)))</f>
        <v>0</v>
      </c>
      <c r="DF54" s="1431"/>
      <c r="DG54" s="1429">
        <f>IF(AND(DI54=0,A54=""),AM54,IF(DI54=0,AM54+VLOOKUP(AX54,[10]Critérium!$AC$49:$DH$100,84,FALSE),AM54+VLOOKUP(AX54,[10]Critérium!$B$6:$V$22,21,FALSE)+VLOOKUP(AX54,[10]Critérium!$AC$49:$DH$100,84,FALSE)))</f>
        <v>0</v>
      </c>
      <c r="DH54" s="1430">
        <f ca="1">IF(DG54=0,0,(DE54/DG54+RAND()*0.0001))</f>
        <v>0</v>
      </c>
      <c r="DI54" s="1429">
        <f>VLOOKUP(AX54,[10]liste!AN:AR,5,FALSE)</f>
        <v>0</v>
      </c>
      <c r="DJ54" s="1427">
        <f ca="1">DG54+RAND()</f>
        <v>0.67979301308890161</v>
      </c>
      <c r="DK54" s="1427" t="str">
        <f>A54</f>
        <v/>
      </c>
      <c r="DL54" s="1427"/>
      <c r="DM54" s="1428">
        <f>HLOOKUP($DM$1,$C$1:$P$70,54,FALSE)</f>
        <v>0</v>
      </c>
      <c r="DN54" s="1428">
        <f>HLOOKUP($DN$1,$Q$1:$AD$70,54,FALSE)</f>
        <v>0</v>
      </c>
      <c r="DO54" s="1401"/>
      <c r="DP54" s="1401"/>
      <c r="DQ54" s="1401"/>
      <c r="DR54" s="1400">
        <f>IF(SUM(C54:P54)=0,0,(AE54*10/SUM(C54:P54)/2)*AE54/21)</f>
        <v>0</v>
      </c>
      <c r="DS54" s="1427"/>
      <c r="DT54" s="1427"/>
      <c r="DU54" s="1427"/>
      <c r="DV54" s="1427"/>
      <c r="DW54" s="1427"/>
      <c r="DX54" s="1427"/>
      <c r="DY54" s="1427"/>
      <c r="DZ54" s="1427"/>
      <c r="EA54" s="1427"/>
      <c r="EB54" s="1427"/>
      <c r="EC54" s="1427"/>
      <c r="ED54" s="1427"/>
      <c r="EE54" s="1427"/>
      <c r="EF54" s="1427"/>
      <c r="EG54" s="1427"/>
      <c r="EH54" s="1427"/>
      <c r="EI54" s="1427"/>
      <c r="EJ54" s="1427"/>
      <c r="EK54" s="1427"/>
      <c r="EL54" s="1427"/>
      <c r="EM54" s="1427"/>
      <c r="EN54" s="1427"/>
      <c r="EO54" s="1427"/>
      <c r="EP54" s="1427"/>
      <c r="EQ54" s="1427"/>
      <c r="ER54" s="1427"/>
      <c r="ES54" s="1427"/>
      <c r="ET54" s="1427"/>
      <c r="EU54" s="1427"/>
      <c r="EV54" s="1427"/>
      <c r="EW54" s="1427"/>
      <c r="EX54" s="1427"/>
      <c r="EY54" s="1427"/>
      <c r="EZ54" s="1427"/>
      <c r="FA54" s="1427"/>
      <c r="FB54" s="1427"/>
      <c r="FC54" s="1427"/>
      <c r="FD54" s="1427"/>
      <c r="FE54" s="1427"/>
      <c r="FF54" s="1427"/>
      <c r="FG54" s="1427"/>
      <c r="FH54" s="1427"/>
      <c r="FI54" s="1427"/>
      <c r="FJ54" s="1427"/>
      <c r="FK54" s="1427"/>
      <c r="FL54" s="1427"/>
      <c r="FM54" s="1427"/>
      <c r="FN54" s="1427"/>
      <c r="FO54" s="1427"/>
      <c r="FP54" s="1427"/>
      <c r="FQ54" s="1427"/>
    </row>
    <row r="55" spans="1:173" s="1426" customFormat="1" ht="21.95" customHeight="1">
      <c r="A55" s="1443" t="str">
        <f>[10]points!B69</f>
        <v/>
      </c>
      <c r="B55" s="1442" t="str">
        <f>IF(A55="","",VLOOKUP(A55,[10]liste!AN:AQ,4,FALSE))</f>
        <v/>
      </c>
      <c r="C55" s="1441"/>
      <c r="D55" s="1441"/>
      <c r="E55" s="1441"/>
      <c r="F55" s="1441"/>
      <c r="G55" s="1441"/>
      <c r="H55" s="1441"/>
      <c r="I55" s="1441"/>
      <c r="J55" s="1441"/>
      <c r="K55" s="1441"/>
      <c r="L55" s="1441"/>
      <c r="M55" s="1441"/>
      <c r="N55" s="1441"/>
      <c r="O55" s="1441"/>
      <c r="P55" s="1441"/>
      <c r="Q55" s="1441"/>
      <c r="R55" s="1441"/>
      <c r="S55" s="1441"/>
      <c r="T55" s="1441"/>
      <c r="U55" s="1441"/>
      <c r="V55" s="1441"/>
      <c r="W55" s="1441"/>
      <c r="X55" s="1441"/>
      <c r="Y55" s="1441"/>
      <c r="Z55" s="1441"/>
      <c r="AA55" s="1441"/>
      <c r="AB55" s="1441"/>
      <c r="AC55" s="1441"/>
      <c r="AD55" s="1441"/>
      <c r="AE55" s="1440" t="str">
        <f>IF(B55="","",COUNTA(Q55:AD55))</f>
        <v/>
      </c>
      <c r="AF55" s="1439">
        <f>SUM(Q55:W55)</f>
        <v>0</v>
      </c>
      <c r="AG55" s="1439">
        <f>SUM(CQ55:CW55)</f>
        <v>0</v>
      </c>
      <c r="AH55" s="1438" t="str">
        <f>IF(AG55=0,"X",AF55/AG55)</f>
        <v>X</v>
      </c>
      <c r="AI55" s="1439">
        <f>SUM(X55:AD55)</f>
        <v>0</v>
      </c>
      <c r="AJ55" s="1439">
        <f>SUM(CX55:DD55)</f>
        <v>0</v>
      </c>
      <c r="AK55" s="1438" t="str">
        <f>IF(AJ55=0,"X",AI55/AJ55)</f>
        <v>X</v>
      </c>
      <c r="AL55" s="1439">
        <f>SUM(Q55:AD55)</f>
        <v>0</v>
      </c>
      <c r="AM55" s="1439">
        <f>SUM(CQ55:DD55)</f>
        <v>0</v>
      </c>
      <c r="AN55" s="1438" t="str">
        <f>IF(CQ55+CR55+CS55+CT55+CU55+CV55+CW55+CX55+CY55+CZ55+DA55+DB55+DC55+DD55=0,"",MINVERSE(CQ55+CR55+CS55+CT55+CU55+CV55+CW55+CX55+CY55+CZ55+DA55+DB55+DC55+DD55)*AL55)</f>
        <v/>
      </c>
      <c r="AO55" s="1437">
        <f ca="1">IF(B55="",10,B55+RAND()*0.01)</f>
        <v>10</v>
      </c>
      <c r="AP55" s="1437" t="str">
        <f ca="1">IF(AND(C55="",J55=""),"e",IF(J55="",IF($BD$1&lt;=7,C55+RAND()*0.01,"e"),J55+RAND()*0.01))</f>
        <v>e</v>
      </c>
      <c r="AQ55" s="1437" t="str">
        <f ca="1">IF(AND(D55="",K55=""),"e",IF(K55="",IF($BD$1&lt;=7,D55+RAND()*0.01,"e"),K55+RAND()*0.01))</f>
        <v>e</v>
      </c>
      <c r="AR55" s="1437" t="str">
        <f ca="1">IF(AND(E55="",L55=""),"e",IF(L55="",IF($BD$1&lt;=7,E55+RAND()*0.01,"e"),L55+RAND()*0.01))</f>
        <v>e</v>
      </c>
      <c r="AS55" s="1437" t="str">
        <f ca="1">IF(AND(F55="",M55=""),"e",IF(M55="",IF($BD$1&lt;=7,F55+RAND()*0.01,"e"),M55+RAND()*0.01))</f>
        <v>e</v>
      </c>
      <c r="AT55" s="1437" t="str">
        <f ca="1">IF(AND(G55="",N55=""),"e",IF(N55="",IF($BD$1&lt;=7,G55+RAND()*0.01,"e"),N55+RAND()*0.01))</f>
        <v>e</v>
      </c>
      <c r="AU55" s="1437" t="str">
        <f ca="1">IF(AND(H55="",O55=""),"e",IF(O55="",IF($BD$1&lt;=7,H55+RAND()*0.01,"e"),O55+RAND()*0.01))</f>
        <v>e</v>
      </c>
      <c r="AV55" s="1437" t="str">
        <f ca="1">IF(AND(I55="",P55=""),"e",IF(P55="",IF($BD$1&lt;=7,I55+RAND()*0.01,"e"),P55+RAND()*0.01))</f>
        <v>e</v>
      </c>
      <c r="AW55" s="1437"/>
      <c r="AX55" s="1436" t="str">
        <f>A55</f>
        <v/>
      </c>
      <c r="AY55" s="1580" t="str">
        <f>IF(OR($H$2&gt;0,$H$3&gt;0,$H$4&gt;0,$H$5&gt;0,$H$6&gt;0,$H$7&gt;0,$H$8&gt;0,$H$2&gt;0),"",IF(COUNTIF(C55:H55,"")&gt;=5,"",IF(COUNTIF(C55:H55,SMALL(C55:H55,1))&gt;=2,SMALL(C55:H55,1),SMALL(C55:H55,2))))</f>
        <v/>
      </c>
      <c r="AZ55" s="1581" t="str">
        <f>IF(COUNTIF(J55:O55,"")&gt;=5,"",IF(COUNTIF(J55:O55,SMALL(J55:O55,1))&gt;=2,SMALL(J55:O55,1),SMALL(J55:O55,2)))</f>
        <v/>
      </c>
      <c r="BA55" s="1401"/>
      <c r="BB55" s="1401"/>
      <c r="BC55" s="1451" t="s">
        <v>726</v>
      </c>
      <c r="BD55" s="1450">
        <v>0.5</v>
      </c>
      <c r="BE55" s="1450">
        <v>0</v>
      </c>
      <c r="BF55" s="1450">
        <v>28</v>
      </c>
      <c r="BG55" s="1449">
        <v>-20</v>
      </c>
      <c r="BH55" s="1453" t="s">
        <v>725</v>
      </c>
      <c r="BI55" s="1444"/>
      <c r="BJ55" s="1444"/>
      <c r="BK55" s="1444"/>
      <c r="BL55" s="1444"/>
      <c r="BM55" s="1444"/>
      <c r="BN55" s="1444"/>
      <c r="BO55" s="1444"/>
      <c r="BP55" s="1452"/>
      <c r="BQ55" s="1401"/>
      <c r="BR55" s="1401"/>
      <c r="BS55" s="1401"/>
      <c r="BT55" s="1401"/>
      <c r="BU55" s="1434"/>
      <c r="BV55" s="1401"/>
      <c r="BW55" s="1401"/>
      <c r="BX55" s="1401"/>
      <c r="BY55" s="561">
        <f ca="1">IF($BD$1&lt;=7,COUNTIF($C55:$I55,"1")+RAND()*0.0001,COUNTIF($J55:$P55,"1")+RAND()*0.0001)</f>
        <v>7.7938929473878047E-6</v>
      </c>
      <c r="BZ55" s="561" t="str">
        <f ca="1">IF(BY55&lt;1,"",AX55)</f>
        <v/>
      </c>
      <c r="CA55" s="561">
        <f ca="1">IF($BD$1&lt;=7,COUNTIF($C55:$I55,"2")+RAND()*0.0001,COUNTIF($J55:$P55,"2")+RAND()*0.0001)</f>
        <v>9.1558387509426274E-5</v>
      </c>
      <c r="CB55" s="561" t="str">
        <f ca="1">IF(CA55&lt;1,"",AX55)</f>
        <v/>
      </c>
      <c r="CC55" s="561">
        <f ca="1">IF($BD$1&lt;=7,COUNTIF($C55:$I55,"3")+RAND()*0.0001,COUNTIF($J55:$P55,"3")+RAND()*0.0001)</f>
        <v>6.6077402794887833E-6</v>
      </c>
      <c r="CD55" s="561" t="str">
        <f ca="1">IF(CC55&lt;1,"",AX55)</f>
        <v/>
      </c>
      <c r="CE55" s="561">
        <f ca="1">IF($BD$1&lt;=7,COUNTIF($C55:$I55,"4")+RAND()*0.0001,COUNTIF($J55:$P55,"4")+RAND()*0.0001)</f>
        <v>7.1087904804261373E-5</v>
      </c>
      <c r="CF55" s="561" t="str">
        <f ca="1">IF(CE55&lt;1,"",AX55)</f>
        <v/>
      </c>
      <c r="CG55" s="561">
        <f ca="1">IF($BD$1&lt;=7,COUNTIF($C55:$I55,"5")+RAND()*0.0001,COUNTIF($J55:$P55,"5")+RAND()*0.0001)</f>
        <v>2.024201075881238E-5</v>
      </c>
      <c r="CH55" s="561" t="str">
        <f ca="1">IF(CG55&lt;1,"",AX55)</f>
        <v/>
      </c>
      <c r="CI55" s="561">
        <f ca="1">IF($BD$1&lt;=7,COUNTIF($C55:$I55,"6")+RAND()*0.0001,COUNTIF($J55:$P55,"6")+RAND()*0.0001)</f>
        <v>8.4727403545709209E-5</v>
      </c>
      <c r="CJ55" s="561" t="str">
        <f ca="1">IF(CI55&lt;1,"",AX55)</f>
        <v/>
      </c>
      <c r="CK55" s="561">
        <f ca="1">IF($BD$1&lt;=7,COUNTIF($C55:$I55,"7")+RAND()*0.0001,COUNTIF($J55:$P55,"7")+RAND()*0.0001)</f>
        <v>5.0948131878693893E-5</v>
      </c>
      <c r="CL55" s="561" t="str">
        <f ca="1">IF(CK55&lt;1,"",AX55)</f>
        <v/>
      </c>
      <c r="CM55" s="561">
        <f ca="1">IF($BD$1&lt;=7,COUNTIF($C55:$I55,"8")+RAND()*0.0001,COUNTIF($J55:$P55,"8")+RAND()*0.0001)</f>
        <v>5.3921862780497478E-5</v>
      </c>
      <c r="CN55" s="561" t="str">
        <f ca="1">IF(CM55&lt;1,"",AX55)</f>
        <v/>
      </c>
      <c r="CO55" s="1401"/>
      <c r="CP55" s="1401" t="e">
        <f ca="1">AE55+RAND()*0.01</f>
        <v>#VALUE!</v>
      </c>
      <c r="CQ55" s="1433">
        <f>VLOOKUP(C55,$CO$2:$DF$11,18,FALSE)</f>
        <v>0</v>
      </c>
      <c r="CR55" s="1433">
        <f>VLOOKUP(D55,$CO$2:$DF$11,18,FALSE)</f>
        <v>0</v>
      </c>
      <c r="CS55" s="1433">
        <f>VLOOKUP(E55,$CO$2:$DF$11,18,FALSE)</f>
        <v>0</v>
      </c>
      <c r="CT55" s="1433">
        <f>VLOOKUP(F55,$CO$2:$DF$11,18,FALSE)</f>
        <v>0</v>
      </c>
      <c r="CU55" s="1433">
        <f>VLOOKUP(G55,$CO$2:$DF$11,18,FALSE)</f>
        <v>0</v>
      </c>
      <c r="CV55" s="1433">
        <f>VLOOKUP(H55,$CO$2:$DF$11,18,FALSE)</f>
        <v>0</v>
      </c>
      <c r="CW55" s="1433">
        <f>VLOOKUP(I55,$CO$2:$DF$11,18,FALSE)</f>
        <v>0</v>
      </c>
      <c r="CX55" s="1433">
        <f>VLOOKUP(J55,$CO$2:$DF$11,18,FALSE)</f>
        <v>0</v>
      </c>
      <c r="CY55" s="1433">
        <f>VLOOKUP(K55,$CO$2:$DF$11,18,FALSE)</f>
        <v>0</v>
      </c>
      <c r="CZ55" s="1433">
        <f>VLOOKUP(L55,$CO$2:$DF$11,18,FALSE)</f>
        <v>0</v>
      </c>
      <c r="DA55" s="1433">
        <f>VLOOKUP(M55,$CO$2:$DF$11,18,FALSE)</f>
        <v>0</v>
      </c>
      <c r="DB55" s="1433">
        <f>VLOOKUP(N55,$CO$2:$DF$11,18,FALSE)</f>
        <v>0</v>
      </c>
      <c r="DC55" s="1433">
        <f>VLOOKUP(O55,$CO$2:$DF$11,18,FALSE)</f>
        <v>0</v>
      </c>
      <c r="DD55" s="1433">
        <f>VLOOKUP(P55,$CO$2:$DF$11,18,FALSE)</f>
        <v>0</v>
      </c>
      <c r="DE55" s="1432">
        <f>IF(AND(DI55=0,A55=""),AL55,IF(DI55=0,AL55+VLOOKUP(AX55,[10]Critérium!$AC$49:$DE$100,81,FALSE),AL55+VLOOKUP(AX55,[10]Critérium!$B$6:$T$22,19,FALSE)+VLOOKUP(AX55,[10]Critérium!$AC$49:$DE$100,81,FALSE)))</f>
        <v>0</v>
      </c>
      <c r="DF55" s="1431"/>
      <c r="DG55" s="1429">
        <f>IF(AND(DI55=0,A55=""),AM55,IF(DI55=0,AM55+VLOOKUP(AX55,[10]Critérium!$AC$49:$DH$100,84,FALSE),AM55+VLOOKUP(AX55,[10]Critérium!$B$6:$V$22,21,FALSE)+VLOOKUP(AX55,[10]Critérium!$AC$49:$DH$100,84,FALSE)))</f>
        <v>0</v>
      </c>
      <c r="DH55" s="1430">
        <f ca="1">IF(DG55=0,0,(DE55/DG55+RAND()*0.0001))</f>
        <v>0</v>
      </c>
      <c r="DI55" s="1429">
        <f>VLOOKUP(AX55,[10]liste!AN:AR,5,FALSE)</f>
        <v>0</v>
      </c>
      <c r="DJ55" s="1427">
        <f ca="1">DG55+RAND()</f>
        <v>0.90695905305402091</v>
      </c>
      <c r="DK55" s="1427" t="str">
        <f>A55</f>
        <v/>
      </c>
      <c r="DL55" s="1427"/>
      <c r="DM55" s="1428">
        <f>HLOOKUP($DM$1,$C$1:$P$70,55,FALSE)</f>
        <v>0</v>
      </c>
      <c r="DN55" s="1428">
        <f>HLOOKUP($DN$1,$Q$1:$AD$70,55,FALSE)</f>
        <v>0</v>
      </c>
      <c r="DO55" s="1401"/>
      <c r="DP55" s="1401"/>
      <c r="DQ55" s="1401"/>
      <c r="DR55" s="1400">
        <f>IF(SUM(C55:P55)=0,0,(AE55*10/SUM(C55:P55)/2)*AE55/21)</f>
        <v>0</v>
      </c>
      <c r="DS55" s="1427"/>
      <c r="DT55" s="1427"/>
      <c r="DU55" s="1427"/>
      <c r="DV55" s="1427"/>
      <c r="DW55" s="1427"/>
      <c r="DX55" s="1427"/>
      <c r="DY55" s="1427"/>
      <c r="DZ55" s="1427"/>
      <c r="EA55" s="1427"/>
      <c r="EB55" s="1427"/>
      <c r="EC55" s="1427"/>
      <c r="ED55" s="1427"/>
      <c r="EE55" s="1427"/>
      <c r="EF55" s="1427"/>
      <c r="EG55" s="1427"/>
      <c r="EH55" s="1427"/>
      <c r="EI55" s="1427"/>
      <c r="EJ55" s="1427"/>
      <c r="EK55" s="1427"/>
      <c r="EL55" s="1427"/>
      <c r="EM55" s="1427"/>
      <c r="EN55" s="1427"/>
      <c r="EO55" s="1427"/>
      <c r="EP55" s="1427"/>
      <c r="EQ55" s="1427"/>
      <c r="ER55" s="1427"/>
      <c r="ES55" s="1427"/>
      <c r="ET55" s="1427"/>
      <c r="EU55" s="1427"/>
      <c r="EV55" s="1427"/>
      <c r="EW55" s="1427"/>
      <c r="EX55" s="1427"/>
      <c r="EY55" s="1427"/>
      <c r="EZ55" s="1427"/>
      <c r="FA55" s="1427"/>
      <c r="FB55" s="1427"/>
      <c r="FC55" s="1427"/>
      <c r="FD55" s="1427"/>
      <c r="FE55" s="1427"/>
      <c r="FF55" s="1427"/>
      <c r="FG55" s="1427"/>
      <c r="FH55" s="1427"/>
      <c r="FI55" s="1427"/>
      <c r="FJ55" s="1427"/>
      <c r="FK55" s="1427"/>
      <c r="FL55" s="1427"/>
      <c r="FM55" s="1427"/>
      <c r="FN55" s="1427"/>
      <c r="FO55" s="1427"/>
      <c r="FP55" s="1427"/>
      <c r="FQ55" s="1427"/>
    </row>
    <row r="56" spans="1:173" s="1426" customFormat="1" ht="21.95" customHeight="1">
      <c r="A56" s="1443" t="str">
        <f>[10]points!B70</f>
        <v/>
      </c>
      <c r="B56" s="1442" t="str">
        <f>IF(A56="","",VLOOKUP(A56,[10]liste!AN:AQ,4,FALSE))</f>
        <v/>
      </c>
      <c r="C56" s="1441"/>
      <c r="D56" s="1441"/>
      <c r="E56" s="1441"/>
      <c r="F56" s="1441"/>
      <c r="G56" s="1441"/>
      <c r="H56" s="1441"/>
      <c r="I56" s="1441"/>
      <c r="J56" s="1441"/>
      <c r="K56" s="1441"/>
      <c r="L56" s="1441"/>
      <c r="M56" s="1441"/>
      <c r="N56" s="1441"/>
      <c r="O56" s="1441"/>
      <c r="P56" s="1441"/>
      <c r="Q56" s="1441"/>
      <c r="R56" s="1441"/>
      <c r="S56" s="1441"/>
      <c r="T56" s="1441"/>
      <c r="U56" s="1441"/>
      <c r="V56" s="1441"/>
      <c r="W56" s="1441"/>
      <c r="X56" s="1441"/>
      <c r="Y56" s="1441"/>
      <c r="Z56" s="1441"/>
      <c r="AA56" s="1441"/>
      <c r="AB56" s="1441"/>
      <c r="AC56" s="1441"/>
      <c r="AD56" s="1441"/>
      <c r="AE56" s="1440" t="str">
        <f>IF(B56="","",COUNTA(Q56:AD56))</f>
        <v/>
      </c>
      <c r="AF56" s="1439">
        <f>SUM(Q56:W56)</f>
        <v>0</v>
      </c>
      <c r="AG56" s="1439">
        <f>SUM(CQ56:CW56)</f>
        <v>0</v>
      </c>
      <c r="AH56" s="1438" t="str">
        <f>IF(AG56=0,"X",AF56/AG56)</f>
        <v>X</v>
      </c>
      <c r="AI56" s="1439">
        <f>SUM(X56:AD56)</f>
        <v>0</v>
      </c>
      <c r="AJ56" s="1439">
        <f>SUM(CX56:DD56)</f>
        <v>0</v>
      </c>
      <c r="AK56" s="1438" t="str">
        <f>IF(AJ56=0,"X",AI56/AJ56)</f>
        <v>X</v>
      </c>
      <c r="AL56" s="1439">
        <f>SUM(Q56:AD56)</f>
        <v>0</v>
      </c>
      <c r="AM56" s="1439">
        <f>SUM(CQ56:DD56)</f>
        <v>0</v>
      </c>
      <c r="AN56" s="1438" t="str">
        <f>IF(CQ56+CR56+CS56+CT56+CU56+CV56+CW56+CX56+CY56+CZ56+DA56+DB56+DC56+DD56=0,"",MINVERSE(CQ56+CR56+CS56+CT56+CU56+CV56+CW56+CX56+CY56+CZ56+DA56+DB56+DC56+DD56)*AL56)</f>
        <v/>
      </c>
      <c r="AO56" s="1437">
        <f ca="1">IF(B56="",10,B56+RAND()*0.01)</f>
        <v>10</v>
      </c>
      <c r="AP56" s="1437" t="str">
        <f ca="1">IF(AND(C56="",J56=""),"e",IF(J56="",IF($BD$1&lt;=7,C56+RAND()*0.01,"e"),J56+RAND()*0.01))</f>
        <v>e</v>
      </c>
      <c r="AQ56" s="1437" t="str">
        <f ca="1">IF(AND(D56="",K56=""),"e",IF(K56="",IF($BD$1&lt;=7,D56+RAND()*0.01,"e"),K56+RAND()*0.01))</f>
        <v>e</v>
      </c>
      <c r="AR56" s="1437" t="str">
        <f ca="1">IF(AND(E56="",L56=""),"e",IF(L56="",IF($BD$1&lt;=7,E56+RAND()*0.01,"e"),L56+RAND()*0.01))</f>
        <v>e</v>
      </c>
      <c r="AS56" s="1437" t="str">
        <f ca="1">IF(AND(F56="",M56=""),"e",IF(M56="",IF($BD$1&lt;=7,F56+RAND()*0.01,"e"),M56+RAND()*0.01))</f>
        <v>e</v>
      </c>
      <c r="AT56" s="1437" t="str">
        <f ca="1">IF(AND(G56="",N56=""),"e",IF(N56="",IF($BD$1&lt;=7,G56+RAND()*0.01,"e"),N56+RAND()*0.01))</f>
        <v>e</v>
      </c>
      <c r="AU56" s="1437" t="str">
        <f ca="1">IF(AND(H56="",O56=""),"e",IF(O56="",IF($BD$1&lt;=7,H56+RAND()*0.01,"e"),O56+RAND()*0.01))</f>
        <v>e</v>
      </c>
      <c r="AV56" s="1437" t="str">
        <f ca="1">IF(AND(I56="",P56=""),"e",IF(P56="",IF($BD$1&lt;=7,I56+RAND()*0.01,"e"),P56+RAND()*0.01))</f>
        <v>e</v>
      </c>
      <c r="AW56" s="1437"/>
      <c r="AX56" s="1436" t="str">
        <f>A56</f>
        <v/>
      </c>
      <c r="AY56" s="1580" t="str">
        <f>IF(OR($H$2&gt;0,$H$3&gt;0,$H$4&gt;0,$H$5&gt;0,$H$6&gt;0,$H$7&gt;0,$H$8&gt;0,$H$2&gt;0),"",IF(COUNTIF(C56:H56,"")&gt;=5,"",IF(COUNTIF(C56:H56,SMALL(C56:H56,1))&gt;=2,SMALL(C56:H56,1),SMALL(C56:H56,2))))</f>
        <v/>
      </c>
      <c r="AZ56" s="1581" t="str">
        <f>IF(COUNTIF(J56:O56,"")&gt;=5,"",IF(COUNTIF(J56:O56,SMALL(J56:O56,1))&gt;=2,SMALL(J56:O56,1),SMALL(J56:O56,2)))</f>
        <v/>
      </c>
      <c r="BA56" s="1401"/>
      <c r="BB56" s="1401"/>
      <c r="BC56" s="1451" t="s">
        <v>724</v>
      </c>
      <c r="BD56" s="1450">
        <v>0</v>
      </c>
      <c r="BE56" s="1450">
        <v>0</v>
      </c>
      <c r="BF56" s="1450">
        <v>40</v>
      </c>
      <c r="BG56" s="1449">
        <v>-29</v>
      </c>
      <c r="BH56" s="1448" t="s">
        <v>723</v>
      </c>
      <c r="BI56" s="1447"/>
      <c r="BJ56" s="1447"/>
      <c r="BK56" s="1447"/>
      <c r="BL56" s="1447"/>
      <c r="BM56" s="1447"/>
      <c r="BN56" s="1447"/>
      <c r="BO56" s="1447"/>
      <c r="BP56" s="1446"/>
      <c r="BQ56" s="1401"/>
      <c r="BR56" s="1401"/>
      <c r="BS56" s="1401"/>
      <c r="BT56" s="1401"/>
      <c r="BU56" s="1434"/>
      <c r="BV56" s="1401"/>
      <c r="BW56" s="1401"/>
      <c r="BX56" s="1401"/>
      <c r="BY56" s="561">
        <f ca="1">IF($BD$1&lt;=7,COUNTIF($C56:$I56,"1")+RAND()*0.0001,COUNTIF($J56:$P56,"1")+RAND()*0.0001)</f>
        <v>1.3671789198153829E-5</v>
      </c>
      <c r="BZ56" s="561" t="str">
        <f ca="1">IF(BY56&lt;1,"",AX56)</f>
        <v/>
      </c>
      <c r="CA56" s="561">
        <f ca="1">IF($BD$1&lt;=7,COUNTIF($C56:$I56,"2")+RAND()*0.0001,COUNTIF($J56:$P56,"2")+RAND()*0.0001)</f>
        <v>3.0315527177679061E-5</v>
      </c>
      <c r="CB56" s="561" t="str">
        <f ca="1">IF(CA56&lt;1,"",AX56)</f>
        <v/>
      </c>
      <c r="CC56" s="561">
        <f ca="1">IF($BD$1&lt;=7,COUNTIF($C56:$I56,"3")+RAND()*0.0001,COUNTIF($J56:$P56,"3")+RAND()*0.0001)</f>
        <v>3.029328585187502E-5</v>
      </c>
      <c r="CD56" s="561" t="str">
        <f ca="1">IF(CC56&lt;1,"",AX56)</f>
        <v/>
      </c>
      <c r="CE56" s="561">
        <f ca="1">IF($BD$1&lt;=7,COUNTIF($C56:$I56,"4")+RAND()*0.0001,COUNTIF($J56:$P56,"4")+RAND()*0.0001)</f>
        <v>4.3791315964920265E-5</v>
      </c>
      <c r="CF56" s="561" t="str">
        <f ca="1">IF(CE56&lt;1,"",AX56)</f>
        <v/>
      </c>
      <c r="CG56" s="561">
        <f ca="1">IF($BD$1&lt;=7,COUNTIF($C56:$I56,"5")+RAND()*0.0001,COUNTIF($J56:$P56,"5")+RAND()*0.0001)</f>
        <v>2.7074511156555792E-5</v>
      </c>
      <c r="CH56" s="561" t="str">
        <f ca="1">IF(CG56&lt;1,"",AX56)</f>
        <v/>
      </c>
      <c r="CI56" s="561">
        <f ca="1">IF($BD$1&lt;=7,COUNTIF($C56:$I56,"6")+RAND()*0.0001,COUNTIF($J56:$P56,"6")+RAND()*0.0001)</f>
        <v>5.3232950003370805E-5</v>
      </c>
      <c r="CJ56" s="561" t="str">
        <f ca="1">IF(CI56&lt;1,"",AX56)</f>
        <v/>
      </c>
      <c r="CK56" s="561">
        <f ca="1">IF($BD$1&lt;=7,COUNTIF($C56:$I56,"7")+RAND()*0.0001,COUNTIF($J56:$P56,"7")+RAND()*0.0001)</f>
        <v>1.6746976902174638E-5</v>
      </c>
      <c r="CL56" s="561" t="str">
        <f ca="1">IF(CK56&lt;1,"",AX56)</f>
        <v/>
      </c>
      <c r="CM56" s="561">
        <f ca="1">IF($BD$1&lt;=7,COUNTIF($C56:$I56,"8")+RAND()*0.0001,COUNTIF($J56:$P56,"8")+RAND()*0.0001)</f>
        <v>5.6844871521100465E-5</v>
      </c>
      <c r="CN56" s="561" t="str">
        <f ca="1">IF(CM56&lt;1,"",AX56)</f>
        <v/>
      </c>
      <c r="CO56" s="1401"/>
      <c r="CP56" s="1401" t="e">
        <f ca="1">AE56+RAND()*0.01</f>
        <v>#VALUE!</v>
      </c>
      <c r="CQ56" s="1433">
        <f>VLOOKUP(C56,$CO$2:$DF$11,18,FALSE)</f>
        <v>0</v>
      </c>
      <c r="CR56" s="1433">
        <f>VLOOKUP(D56,$CO$2:$DF$11,18,FALSE)</f>
        <v>0</v>
      </c>
      <c r="CS56" s="1433">
        <f>VLOOKUP(E56,$CO$2:$DF$11,18,FALSE)</f>
        <v>0</v>
      </c>
      <c r="CT56" s="1433">
        <f>VLOOKUP(F56,$CO$2:$DF$11,18,FALSE)</f>
        <v>0</v>
      </c>
      <c r="CU56" s="1433">
        <f>VLOOKUP(G56,$CO$2:$DF$11,18,FALSE)</f>
        <v>0</v>
      </c>
      <c r="CV56" s="1433">
        <f>VLOOKUP(H56,$CO$2:$DF$11,18,FALSE)</f>
        <v>0</v>
      </c>
      <c r="CW56" s="1433">
        <f>VLOOKUP(I56,$CO$2:$DF$11,18,FALSE)</f>
        <v>0</v>
      </c>
      <c r="CX56" s="1433">
        <f>VLOOKUP(J56,$CO$2:$DF$11,18,FALSE)</f>
        <v>0</v>
      </c>
      <c r="CY56" s="1433">
        <f>VLOOKUP(K56,$CO$2:$DF$11,18,FALSE)</f>
        <v>0</v>
      </c>
      <c r="CZ56" s="1433">
        <f>VLOOKUP(L56,$CO$2:$DF$11,18,FALSE)</f>
        <v>0</v>
      </c>
      <c r="DA56" s="1433">
        <f>VLOOKUP(M56,$CO$2:$DF$11,18,FALSE)</f>
        <v>0</v>
      </c>
      <c r="DB56" s="1433">
        <f>VLOOKUP(N56,$CO$2:$DF$11,18,FALSE)</f>
        <v>0</v>
      </c>
      <c r="DC56" s="1433">
        <f>VLOOKUP(O56,$CO$2:$DF$11,18,FALSE)</f>
        <v>0</v>
      </c>
      <c r="DD56" s="1433">
        <f>VLOOKUP(P56,$CO$2:$DF$11,18,FALSE)</f>
        <v>0</v>
      </c>
      <c r="DE56" s="1432">
        <f>IF(AND(DI56=0,A56=""),AL56,IF(DI56=0,AL56+VLOOKUP(AX56,[10]Critérium!$AC$49:$DE$100,81,FALSE),AL56+VLOOKUP(AX56,[10]Critérium!$B$6:$T$22,19,FALSE)+VLOOKUP(AX56,[10]Critérium!$AC$49:$DE$100,81,FALSE)))</f>
        <v>0</v>
      </c>
      <c r="DF56" s="1431"/>
      <c r="DG56" s="1429">
        <f>IF(AND(DI56=0,A56=""),AM56,IF(DI56=0,AM56+VLOOKUP(AX56,[10]Critérium!$AC$49:$DH$100,84,FALSE),AM56+VLOOKUP(AX56,[10]Critérium!$B$6:$V$22,21,FALSE)+VLOOKUP(AX56,[10]Critérium!$AC$49:$DH$100,84,FALSE)))</f>
        <v>0</v>
      </c>
      <c r="DH56" s="1430">
        <f ca="1">IF(DG56=0,0,(DE56/DG56+RAND()*0.0001))</f>
        <v>0</v>
      </c>
      <c r="DI56" s="1429">
        <f>VLOOKUP(AX56,[10]liste!AN:AR,5,FALSE)</f>
        <v>0</v>
      </c>
      <c r="DJ56" s="1427">
        <f ca="1">DG56+RAND()</f>
        <v>0.2696202737050224</v>
      </c>
      <c r="DK56" s="1427" t="str">
        <f>A56</f>
        <v/>
      </c>
      <c r="DL56" s="1427"/>
      <c r="DM56" s="1428">
        <f>HLOOKUP($DM$1,$C$1:$P$70,56,FALSE)</f>
        <v>0</v>
      </c>
      <c r="DN56" s="1428">
        <f>HLOOKUP($DN$1,$Q$1:$AD$70,56,FALSE)</f>
        <v>0</v>
      </c>
      <c r="DO56" s="1401"/>
      <c r="DP56" s="1401"/>
      <c r="DQ56" s="1401"/>
      <c r="DR56" s="1400">
        <f>IF(SUM(C56:P56)=0,0,(AE56*10/SUM(C56:P56)/2)*AE56/21)</f>
        <v>0</v>
      </c>
      <c r="DS56" s="1427"/>
      <c r="DT56" s="1427"/>
      <c r="DU56" s="1427"/>
      <c r="DV56" s="1427"/>
      <c r="DW56" s="1427"/>
      <c r="DX56" s="1427"/>
      <c r="DY56" s="1427"/>
      <c r="DZ56" s="1427"/>
      <c r="EA56" s="1427"/>
      <c r="EB56" s="1427"/>
      <c r="EC56" s="1427"/>
      <c r="ED56" s="1427"/>
      <c r="EE56" s="1427"/>
      <c r="EF56" s="1427"/>
      <c r="EG56" s="1427"/>
      <c r="EH56" s="1427"/>
      <c r="EI56" s="1427"/>
      <c r="EJ56" s="1427"/>
      <c r="EK56" s="1427"/>
      <c r="EL56" s="1427"/>
      <c r="EM56" s="1427"/>
      <c r="EN56" s="1427"/>
      <c r="EO56" s="1427"/>
      <c r="EP56" s="1427"/>
      <c r="EQ56" s="1427"/>
      <c r="ER56" s="1427"/>
      <c r="ES56" s="1427"/>
      <c r="ET56" s="1427"/>
      <c r="EU56" s="1427"/>
      <c r="EV56" s="1427"/>
      <c r="EW56" s="1427"/>
      <c r="EX56" s="1427"/>
      <c r="EY56" s="1427"/>
      <c r="EZ56" s="1427"/>
      <c r="FA56" s="1427"/>
      <c r="FB56" s="1427"/>
      <c r="FC56" s="1427"/>
      <c r="FD56" s="1427"/>
      <c r="FE56" s="1427"/>
      <c r="FF56" s="1427"/>
      <c r="FG56" s="1427"/>
      <c r="FH56" s="1427"/>
      <c r="FI56" s="1427"/>
      <c r="FJ56" s="1427"/>
      <c r="FK56" s="1427"/>
      <c r="FL56" s="1427"/>
      <c r="FM56" s="1427"/>
      <c r="FN56" s="1427"/>
      <c r="FO56" s="1427"/>
      <c r="FP56" s="1427"/>
      <c r="FQ56" s="1427"/>
    </row>
    <row r="57" spans="1:173" s="1426" customFormat="1" ht="21.95" customHeight="1">
      <c r="A57" s="1443" t="str">
        <f>[10]points!B71</f>
        <v/>
      </c>
      <c r="B57" s="1442" t="str">
        <f>IF(A57="","",VLOOKUP(A57,[10]liste!AN:AQ,4,FALSE))</f>
        <v/>
      </c>
      <c r="C57" s="1441"/>
      <c r="D57" s="1441"/>
      <c r="E57" s="1441"/>
      <c r="F57" s="1441"/>
      <c r="G57" s="1441"/>
      <c r="H57" s="1441"/>
      <c r="I57" s="1441"/>
      <c r="J57" s="1441"/>
      <c r="K57" s="1441"/>
      <c r="L57" s="1441"/>
      <c r="M57" s="1441"/>
      <c r="N57" s="1441"/>
      <c r="O57" s="1441"/>
      <c r="P57" s="1441"/>
      <c r="Q57" s="1441"/>
      <c r="R57" s="1441"/>
      <c r="S57" s="1441"/>
      <c r="T57" s="1441"/>
      <c r="U57" s="1441"/>
      <c r="V57" s="1441"/>
      <c r="W57" s="1441"/>
      <c r="X57" s="1441"/>
      <c r="Y57" s="1441"/>
      <c r="Z57" s="1441"/>
      <c r="AA57" s="1441"/>
      <c r="AB57" s="1441"/>
      <c r="AC57" s="1441"/>
      <c r="AD57" s="1441"/>
      <c r="AE57" s="1440" t="str">
        <f>IF(B57="","",COUNTA(Q57:AD57))</f>
        <v/>
      </c>
      <c r="AF57" s="1439">
        <f>SUM(Q57:W57)</f>
        <v>0</v>
      </c>
      <c r="AG57" s="1439">
        <f>SUM(CQ57:CW57)</f>
        <v>0</v>
      </c>
      <c r="AH57" s="1438" t="str">
        <f>IF(AG57=0,"X",AF57/AG57)</f>
        <v>X</v>
      </c>
      <c r="AI57" s="1439">
        <f>SUM(X57:AD57)</f>
        <v>0</v>
      </c>
      <c r="AJ57" s="1439">
        <f>SUM(CX57:DD57)</f>
        <v>0</v>
      </c>
      <c r="AK57" s="1438" t="str">
        <f>IF(AJ57=0,"X",AI57/AJ57)</f>
        <v>X</v>
      </c>
      <c r="AL57" s="1439">
        <f>SUM(Q57:AD57)</f>
        <v>0</v>
      </c>
      <c r="AM57" s="1439">
        <f>SUM(CQ57:DD57)</f>
        <v>0</v>
      </c>
      <c r="AN57" s="1438" t="str">
        <f>IF(CQ57+CR57+CS57+CT57+CU57+CV57+CW57+CX57+CY57+CZ57+DA57+DB57+DC57+DD57=0,"",MINVERSE(CQ57+CR57+CS57+CT57+CU57+CV57+CW57+CX57+CY57+CZ57+DA57+DB57+DC57+DD57)*AL57)</f>
        <v/>
      </c>
      <c r="AO57" s="1437">
        <f ca="1">IF(B57="",10,B57+RAND()*0.01)</f>
        <v>10</v>
      </c>
      <c r="AP57" s="1437" t="str">
        <f ca="1">IF(AND(C57="",J57=""),"e",IF(J57="",IF($BD$1&lt;=7,C57+RAND()*0.01,"e"),J57+RAND()*0.01))</f>
        <v>e</v>
      </c>
      <c r="AQ57" s="1437" t="str">
        <f ca="1">IF(AND(D57="",K57=""),"e",IF(K57="",IF($BD$1&lt;=7,D57+RAND()*0.01,"e"),K57+RAND()*0.01))</f>
        <v>e</v>
      </c>
      <c r="AR57" s="1437" t="str">
        <f ca="1">IF(AND(E57="",L57=""),"e",IF(L57="",IF($BD$1&lt;=7,E57+RAND()*0.01,"e"),L57+RAND()*0.01))</f>
        <v>e</v>
      </c>
      <c r="AS57" s="1437" t="str">
        <f ca="1">IF(AND(F57="",M57=""),"e",IF(M57="",IF($BD$1&lt;=7,F57+RAND()*0.01,"e"),M57+RAND()*0.01))</f>
        <v>e</v>
      </c>
      <c r="AT57" s="1437" t="str">
        <f ca="1">IF(AND(G57="",N57=""),"e",IF(N57="",IF($BD$1&lt;=7,G57+RAND()*0.01,"e"),N57+RAND()*0.01))</f>
        <v>e</v>
      </c>
      <c r="AU57" s="1437" t="str">
        <f ca="1">IF(AND(H57="",O57=""),"e",IF(O57="",IF($BD$1&lt;=7,H57+RAND()*0.01,"e"),O57+RAND()*0.01))</f>
        <v>e</v>
      </c>
      <c r="AV57" s="1437" t="str">
        <f ca="1">IF(AND(I57="",P57=""),"e",IF(P57="",IF($BD$1&lt;=7,I57+RAND()*0.01,"e"),P57+RAND()*0.01))</f>
        <v>e</v>
      </c>
      <c r="AW57" s="1437"/>
      <c r="AX57" s="1436" t="str">
        <f>A57</f>
        <v/>
      </c>
      <c r="AY57" s="1580" t="str">
        <f>IF(OR($H$2&gt;0,$H$3&gt;0,$H$4&gt;0,$H$5&gt;0,$H$6&gt;0,$H$7&gt;0,$H$8&gt;0,$H$2&gt;0),"",IF(COUNTIF(C57:H57,"")&gt;=5,"",IF(COUNTIF(C57:H57,SMALL(C57:H57,1))&gt;=2,SMALL(C57:H57,1),SMALL(C57:H57,2))))</f>
        <v/>
      </c>
      <c r="AZ57" s="1581" t="str">
        <f>IF(COUNTIF(J57:O57,"")&gt;=5,"",IF(COUNTIF(J57:O57,SMALL(J57:O57,1))&gt;=2,SMALL(J57:O57,1),SMALL(J57:O57,2)))</f>
        <v/>
      </c>
      <c r="BA57" s="1401"/>
      <c r="BB57" s="1401"/>
      <c r="BC57" s="1445"/>
      <c r="BD57" s="1445"/>
      <c r="BE57" s="1401"/>
      <c r="BF57" s="1401"/>
      <c r="BG57" s="1401"/>
      <c r="BH57" s="1444"/>
      <c r="BI57" s="1401"/>
      <c r="BJ57" s="1401"/>
      <c r="BK57" s="1401"/>
      <c r="BL57" s="1401"/>
      <c r="BM57" s="1401"/>
      <c r="BN57" s="1435"/>
      <c r="BO57" s="1401"/>
      <c r="BP57" s="1401"/>
      <c r="BQ57" s="1401"/>
      <c r="BR57" s="1401"/>
      <c r="BS57" s="1401"/>
      <c r="BT57" s="1401"/>
      <c r="BU57" s="1434"/>
      <c r="BV57" s="1401"/>
      <c r="BW57" s="1401"/>
      <c r="BX57" s="1401"/>
      <c r="BY57" s="561">
        <f ca="1">IF($BD$1&lt;=7,COUNTIF($C57:$I57,"1")+RAND()*0.0001,COUNTIF($J57:$P57,"1")+RAND()*0.0001)</f>
        <v>1.9259565365543952E-5</v>
      </c>
      <c r="BZ57" s="561" t="str">
        <f ca="1">IF(BY57&lt;1,"",AX57)</f>
        <v/>
      </c>
      <c r="CA57" s="561">
        <f ca="1">IF($BD$1&lt;=7,COUNTIF($C57:$I57,"2")+RAND()*0.0001,COUNTIF($J57:$P57,"2")+RAND()*0.0001)</f>
        <v>9.6510164380953981E-5</v>
      </c>
      <c r="CB57" s="561" t="str">
        <f ca="1">IF(CA57&lt;1,"",AX57)</f>
        <v/>
      </c>
      <c r="CC57" s="561">
        <f ca="1">IF($BD$1&lt;=7,COUNTIF($C57:$I57,"3")+RAND()*0.0001,COUNTIF($J57:$P57,"3")+RAND()*0.0001)</f>
        <v>7.0137997265807108E-5</v>
      </c>
      <c r="CD57" s="561" t="str">
        <f ca="1">IF(CC57&lt;1,"",AX57)</f>
        <v/>
      </c>
      <c r="CE57" s="561">
        <f ca="1">IF($BD$1&lt;=7,COUNTIF($C57:$I57,"4")+RAND()*0.0001,COUNTIF($J57:$P57,"4")+RAND()*0.0001)</f>
        <v>2.0919141378817884E-5</v>
      </c>
      <c r="CF57" s="561" t="str">
        <f ca="1">IF(CE57&lt;1,"",AX57)</f>
        <v/>
      </c>
      <c r="CG57" s="561">
        <f ca="1">IF($BD$1&lt;=7,COUNTIF($C57:$I57,"5")+RAND()*0.0001,COUNTIF($J57:$P57,"5")+RAND()*0.0001)</f>
        <v>1.1117559056325644E-5</v>
      </c>
      <c r="CH57" s="561" t="str">
        <f ca="1">IF(CG57&lt;1,"",AX57)</f>
        <v/>
      </c>
      <c r="CI57" s="561">
        <f ca="1">IF($BD$1&lt;=7,COUNTIF($C57:$I57,"6")+RAND()*0.0001,COUNTIF($J57:$P57,"6")+RAND()*0.0001)</f>
        <v>6.8208800031738267E-5</v>
      </c>
      <c r="CJ57" s="561" t="str">
        <f ca="1">IF(CI57&lt;1,"",AX57)</f>
        <v/>
      </c>
      <c r="CK57" s="561">
        <f ca="1">IF($BD$1&lt;=7,COUNTIF($C57:$I57,"7")+RAND()*0.0001,COUNTIF($J57:$P57,"7")+RAND()*0.0001)</f>
        <v>3.6196532080133436E-5</v>
      </c>
      <c r="CL57" s="561" t="str">
        <f ca="1">IF(CK57&lt;1,"",AX57)</f>
        <v/>
      </c>
      <c r="CM57" s="561">
        <f ca="1">IF($BD$1&lt;=7,COUNTIF($C57:$I57,"8")+RAND()*0.0001,COUNTIF($J57:$P57,"8")+RAND()*0.0001)</f>
        <v>8.4028483731819347E-5</v>
      </c>
      <c r="CN57" s="561" t="str">
        <f ca="1">IF(CM57&lt;1,"",AX57)</f>
        <v/>
      </c>
      <c r="CO57" s="1401"/>
      <c r="CP57" s="1401" t="e">
        <f ca="1">AE57+RAND()*0.01</f>
        <v>#VALUE!</v>
      </c>
      <c r="CQ57" s="1433">
        <f>VLOOKUP(C57,$CO$2:$DF$11,18,FALSE)</f>
        <v>0</v>
      </c>
      <c r="CR57" s="1433">
        <f>VLOOKUP(D57,$CO$2:$DF$11,18,FALSE)</f>
        <v>0</v>
      </c>
      <c r="CS57" s="1433">
        <f>VLOOKUP(E57,$CO$2:$DF$11,18,FALSE)</f>
        <v>0</v>
      </c>
      <c r="CT57" s="1433">
        <f>VLOOKUP(F57,$CO$2:$DF$11,18,FALSE)</f>
        <v>0</v>
      </c>
      <c r="CU57" s="1433">
        <f>VLOOKUP(G57,$CO$2:$DF$11,18,FALSE)</f>
        <v>0</v>
      </c>
      <c r="CV57" s="1433">
        <f>VLOOKUP(H57,$CO$2:$DF$11,18,FALSE)</f>
        <v>0</v>
      </c>
      <c r="CW57" s="1433">
        <f>VLOOKUP(I57,$CO$2:$DF$11,18,FALSE)</f>
        <v>0</v>
      </c>
      <c r="CX57" s="1433">
        <f>VLOOKUP(J57,$CO$2:$DF$11,18,FALSE)</f>
        <v>0</v>
      </c>
      <c r="CY57" s="1433">
        <f>VLOOKUP(K57,$CO$2:$DF$11,18,FALSE)</f>
        <v>0</v>
      </c>
      <c r="CZ57" s="1433">
        <f>VLOOKUP(L57,$CO$2:$DF$11,18,FALSE)</f>
        <v>0</v>
      </c>
      <c r="DA57" s="1433">
        <f>VLOOKUP(M57,$CO$2:$DF$11,18,FALSE)</f>
        <v>0</v>
      </c>
      <c r="DB57" s="1433">
        <f>VLOOKUP(N57,$CO$2:$DF$11,18,FALSE)</f>
        <v>0</v>
      </c>
      <c r="DC57" s="1433">
        <f>VLOOKUP(O57,$CO$2:$DF$11,18,FALSE)</f>
        <v>0</v>
      </c>
      <c r="DD57" s="1433">
        <f>VLOOKUP(P57,$CO$2:$DF$11,18,FALSE)</f>
        <v>0</v>
      </c>
      <c r="DE57" s="1432">
        <f>IF(AND(DI57=0,A57=""),AL57,IF(DI57=0,AL57+VLOOKUP(AX57,[10]Critérium!$AC$49:$DE$100,81,FALSE),AL57+VLOOKUP(AX57,[10]Critérium!$B$6:$T$22,19,FALSE)+VLOOKUP(AX57,[10]Critérium!$AC$49:$DE$100,81,FALSE)))</f>
        <v>0</v>
      </c>
      <c r="DF57" s="1431"/>
      <c r="DG57" s="1429">
        <f>IF(AND(DI57=0,A57=""),AM57,IF(DI57=0,AM57+VLOOKUP(AX57,[10]Critérium!$AC$49:$DH$100,84,FALSE),AM57+VLOOKUP(AX57,[10]Critérium!$B$6:$V$22,21,FALSE)+VLOOKUP(AX57,[10]Critérium!$AC$49:$DH$100,84,FALSE)))</f>
        <v>0</v>
      </c>
      <c r="DH57" s="1430">
        <f ca="1">IF(DG57=0,0,(DE57/DG57+RAND()*0.0001))</f>
        <v>0</v>
      </c>
      <c r="DI57" s="1429">
        <f>VLOOKUP(AX57,[10]liste!AN:AR,5,FALSE)</f>
        <v>0</v>
      </c>
      <c r="DJ57" s="1427">
        <f ca="1">DG57+RAND()</f>
        <v>0.98429015286332466</v>
      </c>
      <c r="DK57" s="1427" t="str">
        <f>A57</f>
        <v/>
      </c>
      <c r="DL57" s="1427"/>
      <c r="DM57" s="1428">
        <f>HLOOKUP($DM$1,$C$1:$P$70,57,FALSE)</f>
        <v>0</v>
      </c>
      <c r="DN57" s="1428">
        <f>HLOOKUP($DN$1,$Q$1:$AD$70,57,FALSE)</f>
        <v>0</v>
      </c>
      <c r="DO57" s="1401"/>
      <c r="DP57" s="1401"/>
      <c r="DQ57" s="1401"/>
      <c r="DR57" s="1400">
        <f>IF(SUM(C57:P57)=0,0,(AE57*10/SUM(C57:P57)/2)*AE57/21)</f>
        <v>0</v>
      </c>
      <c r="DS57" s="1427"/>
      <c r="DT57" s="1427"/>
      <c r="DU57" s="1427"/>
      <c r="DV57" s="1427"/>
      <c r="DW57" s="1427"/>
      <c r="DX57" s="1427"/>
      <c r="DY57" s="1427"/>
      <c r="DZ57" s="1427"/>
      <c r="EA57" s="1427"/>
      <c r="EB57" s="1427"/>
      <c r="EC57" s="1427"/>
      <c r="ED57" s="1427"/>
      <c r="EE57" s="1427"/>
      <c r="EF57" s="1427"/>
      <c r="EG57" s="1427"/>
      <c r="EH57" s="1427"/>
      <c r="EI57" s="1427"/>
      <c r="EJ57" s="1427"/>
      <c r="EK57" s="1427"/>
      <c r="EL57" s="1427"/>
      <c r="EM57" s="1427"/>
      <c r="EN57" s="1427"/>
      <c r="EO57" s="1427"/>
      <c r="EP57" s="1427"/>
      <c r="EQ57" s="1427"/>
      <c r="ER57" s="1427"/>
      <c r="ES57" s="1427"/>
      <c r="ET57" s="1427"/>
      <c r="EU57" s="1427"/>
      <c r="EV57" s="1427"/>
      <c r="EW57" s="1427"/>
      <c r="EX57" s="1427"/>
      <c r="EY57" s="1427"/>
      <c r="EZ57" s="1427"/>
      <c r="FA57" s="1427"/>
      <c r="FB57" s="1427"/>
      <c r="FC57" s="1427"/>
      <c r="FD57" s="1427"/>
      <c r="FE57" s="1427"/>
      <c r="FF57" s="1427"/>
      <c r="FG57" s="1427"/>
      <c r="FH57" s="1427"/>
      <c r="FI57" s="1427"/>
      <c r="FJ57" s="1427"/>
      <c r="FK57" s="1427"/>
      <c r="FL57" s="1427"/>
      <c r="FM57" s="1427"/>
      <c r="FN57" s="1427"/>
      <c r="FO57" s="1427"/>
      <c r="FP57" s="1427"/>
      <c r="FQ57" s="1427"/>
    </row>
    <row r="58" spans="1:173" s="1426" customFormat="1" ht="21.95" customHeight="1">
      <c r="A58" s="1443" t="str">
        <f>[10]points!B72</f>
        <v/>
      </c>
      <c r="B58" s="1442" t="str">
        <f>IF(A58="","",VLOOKUP(A58,[10]liste!AN:AQ,4,FALSE))</f>
        <v/>
      </c>
      <c r="C58" s="1441"/>
      <c r="D58" s="1441"/>
      <c r="E58" s="1441"/>
      <c r="F58" s="1441"/>
      <c r="G58" s="1441"/>
      <c r="H58" s="1441"/>
      <c r="I58" s="1441"/>
      <c r="J58" s="1441"/>
      <c r="K58" s="1441"/>
      <c r="L58" s="1441"/>
      <c r="M58" s="1441"/>
      <c r="N58" s="1441"/>
      <c r="O58" s="1441"/>
      <c r="P58" s="1441"/>
      <c r="Q58" s="1441"/>
      <c r="R58" s="1441"/>
      <c r="S58" s="1441"/>
      <c r="T58" s="1441"/>
      <c r="U58" s="1441"/>
      <c r="V58" s="1441"/>
      <c r="W58" s="1441"/>
      <c r="X58" s="1441"/>
      <c r="Y58" s="1441"/>
      <c r="Z58" s="1441"/>
      <c r="AA58" s="1441"/>
      <c r="AB58" s="1441"/>
      <c r="AC58" s="1441"/>
      <c r="AD58" s="1441"/>
      <c r="AE58" s="1440" t="str">
        <f>IF(B58="","",COUNTA(Q58:AD58))</f>
        <v/>
      </c>
      <c r="AF58" s="1439">
        <f>SUM(Q58:W58)</f>
        <v>0</v>
      </c>
      <c r="AG58" s="1439">
        <f>SUM(CQ58:CW58)</f>
        <v>0</v>
      </c>
      <c r="AH58" s="1438" t="str">
        <f>IF(AG58=0,"X",AF58/AG58)</f>
        <v>X</v>
      </c>
      <c r="AI58" s="1439">
        <f>SUM(X58:AD58)</f>
        <v>0</v>
      </c>
      <c r="AJ58" s="1439">
        <f>SUM(CX58:DD58)</f>
        <v>0</v>
      </c>
      <c r="AK58" s="1438" t="str">
        <f>IF(AJ58=0,"X",AI58/AJ58)</f>
        <v>X</v>
      </c>
      <c r="AL58" s="1439">
        <f>SUM(Q58:AD58)</f>
        <v>0</v>
      </c>
      <c r="AM58" s="1439">
        <f>SUM(CQ58:DD58)</f>
        <v>0</v>
      </c>
      <c r="AN58" s="1438" t="str">
        <f>IF(CQ58+CR58+CS58+CT58+CU58+CV58+CW58+CX58+CY58+CZ58+DA58+DB58+DC58+DD58=0,"",MINVERSE(CQ58+CR58+CS58+CT58+CU58+CV58+CW58+CX58+CY58+CZ58+DA58+DB58+DC58+DD58)*AL58)</f>
        <v/>
      </c>
      <c r="AO58" s="1437">
        <f ca="1">IF(B58="",10,B58+RAND()*0.01)</f>
        <v>10</v>
      </c>
      <c r="AP58" s="1437" t="str">
        <f ca="1">IF(AND(C58="",J58=""),"e",IF(J58="",IF($BD$1&lt;=7,C58+RAND()*0.01,"e"),J58+RAND()*0.01))</f>
        <v>e</v>
      </c>
      <c r="AQ58" s="1437" t="str">
        <f ca="1">IF(AND(D58="",K58=""),"e",IF(K58="",IF($BD$1&lt;=7,D58+RAND()*0.01,"e"),K58+RAND()*0.01))</f>
        <v>e</v>
      </c>
      <c r="AR58" s="1437" t="str">
        <f ca="1">IF(AND(E58="",L58=""),"e",IF(L58="",IF($BD$1&lt;=7,E58+RAND()*0.01,"e"),L58+RAND()*0.01))</f>
        <v>e</v>
      </c>
      <c r="AS58" s="1437" t="str">
        <f ca="1">IF(AND(F58="",M58=""),"e",IF(M58="",IF($BD$1&lt;=7,F58+RAND()*0.01,"e"),M58+RAND()*0.01))</f>
        <v>e</v>
      </c>
      <c r="AT58" s="1437" t="str">
        <f ca="1">IF(AND(G58="",N58=""),"e",IF(N58="",IF($BD$1&lt;=7,G58+RAND()*0.01,"e"),N58+RAND()*0.01))</f>
        <v>e</v>
      </c>
      <c r="AU58" s="1437" t="str">
        <f ca="1">IF(AND(H58="",O58=""),"e",IF(O58="",IF($BD$1&lt;=7,H58+RAND()*0.01,"e"),O58+RAND()*0.01))</f>
        <v>e</v>
      </c>
      <c r="AV58" s="1437" t="str">
        <f ca="1">IF(AND(I58="",P58=""),"e",IF(P58="",IF($BD$1&lt;=7,I58+RAND()*0.01,"e"),P58+RAND()*0.01))</f>
        <v>e</v>
      </c>
      <c r="AW58" s="1437"/>
      <c r="AX58" s="1436" t="str">
        <f>A58</f>
        <v/>
      </c>
      <c r="AY58" s="1580" t="str">
        <f>IF(OR($H$2&gt;0,$H$3&gt;0,$H$4&gt;0,$H$5&gt;0,$H$6&gt;0,$H$7&gt;0,$H$8&gt;0,$H$2&gt;0),"",IF(COUNTIF(C58:H58,"")&gt;=5,"",IF(COUNTIF(C58:H58,SMALL(C58:H58,1))&gt;=2,SMALL(C58:H58,1),SMALL(C58:H58,2))))</f>
        <v/>
      </c>
      <c r="AZ58" s="1581" t="str">
        <f>IF(COUNTIF(J58:O58,"")&gt;=5,"",IF(COUNTIF(J58:O58,SMALL(J58:O58,1))&gt;=2,SMALL(J58:O58,1),SMALL(J58:O58,2)))</f>
        <v/>
      </c>
      <c r="BA58" s="1401"/>
      <c r="BB58" s="1401"/>
      <c r="BC58" s="1445"/>
      <c r="BD58" s="1445"/>
      <c r="BE58" s="1401"/>
      <c r="BF58" s="1401"/>
      <c r="BG58" s="1401"/>
      <c r="BH58" s="1444"/>
      <c r="BI58" s="1401"/>
      <c r="BJ58" s="1401"/>
      <c r="BK58" s="1401"/>
      <c r="BL58" s="1401"/>
      <c r="BM58" s="1401"/>
      <c r="BN58" s="1435"/>
      <c r="BO58" s="1401"/>
      <c r="BP58" s="1401"/>
      <c r="BQ58" s="1401"/>
      <c r="BR58" s="1401"/>
      <c r="BS58" s="1401"/>
      <c r="BT58" s="1401"/>
      <c r="BU58" s="1434"/>
      <c r="BV58" s="1401"/>
      <c r="BW58" s="1401"/>
      <c r="BX58" s="1401"/>
      <c r="BY58" s="561">
        <f ca="1">IF($BD$1&lt;=7,COUNTIF($C58:$I58,"1")+RAND()*0.0001,COUNTIF($J58:$P58,"1")+RAND()*0.0001)</f>
        <v>4.6561192765554892E-5</v>
      </c>
      <c r="BZ58" s="561" t="str">
        <f ca="1">IF(BY58&lt;1,"",AX58)</f>
        <v/>
      </c>
      <c r="CA58" s="561">
        <f ca="1">IF($BD$1&lt;=7,COUNTIF($C58:$I58,"2")+RAND()*0.0001,COUNTIF($J58:$P58,"2")+RAND()*0.0001)</f>
        <v>5.7245126346686443E-6</v>
      </c>
      <c r="CB58" s="561" t="str">
        <f ca="1">IF(CA58&lt;1,"",AX58)</f>
        <v/>
      </c>
      <c r="CC58" s="561">
        <f ca="1">IF($BD$1&lt;=7,COUNTIF($C58:$I58,"3")+RAND()*0.0001,COUNTIF($J58:$P58,"3")+RAND()*0.0001)</f>
        <v>3.2627932337809656E-5</v>
      </c>
      <c r="CD58" s="561" t="str">
        <f ca="1">IF(CC58&lt;1,"",AX58)</f>
        <v/>
      </c>
      <c r="CE58" s="561">
        <f ca="1">IF($BD$1&lt;=7,COUNTIF($C58:$I58,"4")+RAND()*0.0001,COUNTIF($J58:$P58,"4")+RAND()*0.0001)</f>
        <v>3.3143214056022911E-5</v>
      </c>
      <c r="CF58" s="561" t="str">
        <f ca="1">IF(CE58&lt;1,"",AX58)</f>
        <v/>
      </c>
      <c r="CG58" s="561">
        <f ca="1">IF($BD$1&lt;=7,COUNTIF($C58:$I58,"5")+RAND()*0.0001,COUNTIF($J58:$P58,"5")+RAND()*0.0001)</f>
        <v>2.1770502860567477E-7</v>
      </c>
      <c r="CH58" s="561" t="str">
        <f ca="1">IF(CG58&lt;1,"",AX58)</f>
        <v/>
      </c>
      <c r="CI58" s="561">
        <f ca="1">IF($BD$1&lt;=7,COUNTIF($C58:$I58,"6")+RAND()*0.0001,COUNTIF($J58:$P58,"6")+RAND()*0.0001)</f>
        <v>7.5491637937365908E-6</v>
      </c>
      <c r="CJ58" s="561" t="str">
        <f ca="1">IF(CI58&lt;1,"",AX58)</f>
        <v/>
      </c>
      <c r="CK58" s="561">
        <f ca="1">IF($BD$1&lt;=7,COUNTIF($C58:$I58,"7")+RAND()*0.0001,COUNTIF($J58:$P58,"7")+RAND()*0.0001)</f>
        <v>7.0474596894451566E-5</v>
      </c>
      <c r="CL58" s="561" t="str">
        <f ca="1">IF(CK58&lt;1,"",AX58)</f>
        <v/>
      </c>
      <c r="CM58" s="561">
        <f ca="1">IF($BD$1&lt;=7,COUNTIF($C58:$I58,"8")+RAND()*0.0001,COUNTIF($J58:$P58,"8")+RAND()*0.0001)</f>
        <v>1.0016318337615805E-5</v>
      </c>
      <c r="CN58" s="561" t="str">
        <f ca="1">IF(CM58&lt;1,"",AX58)</f>
        <v/>
      </c>
      <c r="CO58" s="1401"/>
      <c r="CP58" s="1401" t="e">
        <f ca="1">AE58+RAND()*0.01</f>
        <v>#VALUE!</v>
      </c>
      <c r="CQ58" s="1433">
        <f>VLOOKUP(C58,$CO$2:$DF$11,18,FALSE)</f>
        <v>0</v>
      </c>
      <c r="CR58" s="1433">
        <f>VLOOKUP(D58,$CO$2:$DF$11,18,FALSE)</f>
        <v>0</v>
      </c>
      <c r="CS58" s="1433">
        <f>VLOOKUP(E58,$CO$2:$DF$11,18,FALSE)</f>
        <v>0</v>
      </c>
      <c r="CT58" s="1433">
        <f>VLOOKUP(F58,$CO$2:$DF$11,18,FALSE)</f>
        <v>0</v>
      </c>
      <c r="CU58" s="1433">
        <f>VLOOKUP(G58,$CO$2:$DF$11,18,FALSE)</f>
        <v>0</v>
      </c>
      <c r="CV58" s="1433">
        <f>VLOOKUP(H58,$CO$2:$DF$11,18,FALSE)</f>
        <v>0</v>
      </c>
      <c r="CW58" s="1433">
        <f>VLOOKUP(I58,$CO$2:$DF$11,18,FALSE)</f>
        <v>0</v>
      </c>
      <c r="CX58" s="1433">
        <f>VLOOKUP(J58,$CO$2:$DF$11,18,FALSE)</f>
        <v>0</v>
      </c>
      <c r="CY58" s="1433">
        <f>VLOOKUP(K58,$CO$2:$DF$11,18,FALSE)</f>
        <v>0</v>
      </c>
      <c r="CZ58" s="1433">
        <f>VLOOKUP(L58,$CO$2:$DF$11,18,FALSE)</f>
        <v>0</v>
      </c>
      <c r="DA58" s="1433">
        <f>VLOOKUP(M58,$CO$2:$DF$11,18,FALSE)</f>
        <v>0</v>
      </c>
      <c r="DB58" s="1433">
        <f>VLOOKUP(N58,$CO$2:$DF$11,18,FALSE)</f>
        <v>0</v>
      </c>
      <c r="DC58" s="1433">
        <f>VLOOKUP(O58,$CO$2:$DF$11,18,FALSE)</f>
        <v>0</v>
      </c>
      <c r="DD58" s="1433">
        <f>VLOOKUP(P58,$CO$2:$DF$11,18,FALSE)</f>
        <v>0</v>
      </c>
      <c r="DE58" s="1432">
        <f>IF(AND(DI58=0,A58=""),AL58,IF(DI58=0,AL58+VLOOKUP(AX58,[10]Critérium!$AC$49:$DE$100,81,FALSE),AL58+VLOOKUP(AX58,[10]Critérium!$B$6:$T$22,19,FALSE)+VLOOKUP(AX58,[10]Critérium!$AC$49:$DE$100,81,FALSE)))</f>
        <v>0</v>
      </c>
      <c r="DF58" s="1431"/>
      <c r="DG58" s="1429">
        <f>IF(AND(DI58=0,A58=""),AM58,IF(DI58=0,AM58+VLOOKUP(AX58,[10]Critérium!$AC$49:$DH$100,84,FALSE),AM58+VLOOKUP(AX58,[10]Critérium!$B$6:$V$22,21,FALSE)+VLOOKUP(AX58,[10]Critérium!$AC$49:$DH$100,84,FALSE)))</f>
        <v>0</v>
      </c>
      <c r="DH58" s="1430">
        <f ca="1">IF(DG58=0,0,(DE58/DG58+RAND()*0.0001))</f>
        <v>0</v>
      </c>
      <c r="DI58" s="1429">
        <f>VLOOKUP(AX58,[10]liste!AN:AR,5,FALSE)</f>
        <v>0</v>
      </c>
      <c r="DJ58" s="1427">
        <f ca="1">DG58+RAND()</f>
        <v>0.5029426147330005</v>
      </c>
      <c r="DK58" s="1427" t="str">
        <f>A58</f>
        <v/>
      </c>
      <c r="DL58" s="1427"/>
      <c r="DM58" s="1428">
        <f>HLOOKUP($DM$1,$C$1:$P$70,58,FALSE)</f>
        <v>0</v>
      </c>
      <c r="DN58" s="1428">
        <f>HLOOKUP($DN$1,$Q$1:$AD$70,58,FALSE)</f>
        <v>0</v>
      </c>
      <c r="DO58" s="1401"/>
      <c r="DP58" s="1401"/>
      <c r="DQ58" s="1401"/>
      <c r="DR58" s="1400">
        <f>IF(SUM(C58:P58)=0,0,(AE58*10/SUM(C58:P58)/2)*AE58/21)</f>
        <v>0</v>
      </c>
      <c r="DS58" s="1427"/>
      <c r="DT58" s="1427"/>
      <c r="DU58" s="1427"/>
      <c r="DV58" s="1427"/>
      <c r="DW58" s="1427"/>
      <c r="DX58" s="1427"/>
      <c r="DY58" s="1427"/>
      <c r="DZ58" s="1427"/>
      <c r="EA58" s="1427"/>
      <c r="EB58" s="1427"/>
      <c r="EC58" s="1427"/>
      <c r="ED58" s="1427"/>
      <c r="EE58" s="1427"/>
      <c r="EF58" s="1427"/>
      <c r="EG58" s="1427"/>
      <c r="EH58" s="1427"/>
      <c r="EI58" s="1427"/>
      <c r="EJ58" s="1427"/>
      <c r="EK58" s="1427"/>
      <c r="EL58" s="1427"/>
      <c r="EM58" s="1427"/>
      <c r="EN58" s="1427"/>
      <c r="EO58" s="1427"/>
      <c r="EP58" s="1427"/>
      <c r="EQ58" s="1427"/>
      <c r="ER58" s="1427"/>
      <c r="ES58" s="1427"/>
      <c r="ET58" s="1427"/>
      <c r="EU58" s="1427"/>
      <c r="EV58" s="1427"/>
      <c r="EW58" s="1427"/>
      <c r="EX58" s="1427"/>
      <c r="EY58" s="1427"/>
      <c r="EZ58" s="1427"/>
      <c r="FA58" s="1427"/>
      <c r="FB58" s="1427"/>
      <c r="FC58" s="1427"/>
      <c r="FD58" s="1427"/>
      <c r="FE58" s="1427"/>
      <c r="FF58" s="1427"/>
      <c r="FG58" s="1427"/>
      <c r="FH58" s="1427"/>
      <c r="FI58" s="1427"/>
      <c r="FJ58" s="1427"/>
      <c r="FK58" s="1427"/>
      <c r="FL58" s="1427"/>
      <c r="FM58" s="1427"/>
      <c r="FN58" s="1427"/>
      <c r="FO58" s="1427"/>
      <c r="FP58" s="1427"/>
      <c r="FQ58" s="1427"/>
    </row>
    <row r="59" spans="1:173" s="1426" customFormat="1" ht="21.95" customHeight="1">
      <c r="A59" s="1443" t="str">
        <f>[10]points!B73</f>
        <v/>
      </c>
      <c r="B59" s="1442" t="str">
        <f>IF(A59="","",VLOOKUP(A59,[10]liste!AN:AQ,4,FALSE))</f>
        <v/>
      </c>
      <c r="C59" s="1441"/>
      <c r="D59" s="1441"/>
      <c r="E59" s="1441"/>
      <c r="F59" s="1441"/>
      <c r="G59" s="1441"/>
      <c r="H59" s="1441"/>
      <c r="I59" s="1441"/>
      <c r="J59" s="1441"/>
      <c r="K59" s="1441"/>
      <c r="L59" s="1441"/>
      <c r="M59" s="1441"/>
      <c r="N59" s="1441"/>
      <c r="O59" s="1441"/>
      <c r="P59" s="1441"/>
      <c r="Q59" s="1441"/>
      <c r="R59" s="1441"/>
      <c r="S59" s="1441"/>
      <c r="T59" s="1441"/>
      <c r="U59" s="1441"/>
      <c r="V59" s="1441"/>
      <c r="W59" s="1441"/>
      <c r="X59" s="1441"/>
      <c r="Y59" s="1441"/>
      <c r="Z59" s="1441"/>
      <c r="AA59" s="1441"/>
      <c r="AB59" s="1441"/>
      <c r="AC59" s="1441"/>
      <c r="AD59" s="1441"/>
      <c r="AE59" s="1440" t="str">
        <f>IF(B59="","",COUNTA(Q59:AD59))</f>
        <v/>
      </c>
      <c r="AF59" s="1439">
        <f>SUM(Q59:W59)</f>
        <v>0</v>
      </c>
      <c r="AG59" s="1439">
        <f>SUM(CQ59:CW59)</f>
        <v>0</v>
      </c>
      <c r="AH59" s="1438" t="str">
        <f>IF(AG59=0,"X",AF59/AG59)</f>
        <v>X</v>
      </c>
      <c r="AI59" s="1439">
        <f>SUM(X59:AD59)</f>
        <v>0</v>
      </c>
      <c r="AJ59" s="1439">
        <f>SUM(CX59:DD59)</f>
        <v>0</v>
      </c>
      <c r="AK59" s="1438" t="str">
        <f>IF(AJ59=0,"X",AI59/AJ59)</f>
        <v>X</v>
      </c>
      <c r="AL59" s="1439">
        <f>SUM(Q59:AD59)</f>
        <v>0</v>
      </c>
      <c r="AM59" s="1439">
        <f>SUM(CQ59:DD59)</f>
        <v>0</v>
      </c>
      <c r="AN59" s="1438" t="str">
        <f>IF(CQ59+CR59+CS59+CT59+CU59+CV59+CW59+CX59+CY59+CZ59+DA59+DB59+DC59+DD59=0,"",MINVERSE(CQ59+CR59+CS59+CT59+CU59+CV59+CW59+CX59+CY59+CZ59+DA59+DB59+DC59+DD59)*AL59)</f>
        <v/>
      </c>
      <c r="AO59" s="1437">
        <f ca="1">IF(B59="",10,B59+RAND()*0.01)</f>
        <v>10</v>
      </c>
      <c r="AP59" s="1437" t="str">
        <f ca="1">IF(AND(C59="",J59=""),"e",IF(J59="",IF($BD$1&lt;=7,C59+RAND()*0.01,"e"),J59+RAND()*0.01))</f>
        <v>e</v>
      </c>
      <c r="AQ59" s="1437" t="str">
        <f ca="1">IF(AND(D59="",K59=""),"e",IF(K59="",IF($BD$1&lt;=7,D59+RAND()*0.01,"e"),K59+RAND()*0.01))</f>
        <v>e</v>
      </c>
      <c r="AR59" s="1437" t="str">
        <f ca="1">IF(AND(E59="",L59=""),"e",IF(L59="",IF($BD$1&lt;=7,E59+RAND()*0.01,"e"),L59+RAND()*0.01))</f>
        <v>e</v>
      </c>
      <c r="AS59" s="1437" t="str">
        <f ca="1">IF(AND(F59="",M59=""),"e",IF(M59="",IF($BD$1&lt;=7,F59+RAND()*0.01,"e"),M59+RAND()*0.01))</f>
        <v>e</v>
      </c>
      <c r="AT59" s="1437" t="str">
        <f ca="1">IF(AND(G59="",N59=""),"e",IF(N59="",IF($BD$1&lt;=7,G59+RAND()*0.01,"e"),N59+RAND()*0.01))</f>
        <v>e</v>
      </c>
      <c r="AU59" s="1437" t="str">
        <f ca="1">IF(AND(H59="",O59=""),"e",IF(O59="",IF($BD$1&lt;=7,H59+RAND()*0.01,"e"),O59+RAND()*0.01))</f>
        <v>e</v>
      </c>
      <c r="AV59" s="1437" t="str">
        <f ca="1">IF(AND(I59="",P59=""),"e",IF(P59="",IF($BD$1&lt;=7,I59+RAND()*0.01,"e"),P59+RAND()*0.01))</f>
        <v>e</v>
      </c>
      <c r="AW59" s="1437"/>
      <c r="AX59" s="1436" t="str">
        <f>A59</f>
        <v/>
      </c>
      <c r="AY59" s="1580" t="str">
        <f>IF(OR($H$2&gt;0,$H$3&gt;0,$H$4&gt;0,$H$5&gt;0,$H$6&gt;0,$H$7&gt;0,$H$8&gt;0,$H$2&gt;0),"",IF(COUNTIF(C59:H59,"")&gt;=5,"",IF(COUNTIF(C59:H59,SMALL(C59:H59,1))&gt;=2,SMALL(C59:H59,1),SMALL(C59:H59,2))))</f>
        <v/>
      </c>
      <c r="AZ59" s="1581" t="str">
        <f>IF(COUNTIF(J59:O59,"")&gt;=5,"",IF(COUNTIF(J59:O59,SMALL(J59:O59,1))&gt;=2,SMALL(J59:O59,1),SMALL(J59:O59,2)))</f>
        <v/>
      </c>
      <c r="BA59" s="1401"/>
      <c r="BB59" s="1401"/>
      <c r="BC59" s="1445"/>
      <c r="BD59" s="1445"/>
      <c r="BE59" s="1401"/>
      <c r="BF59" s="1401"/>
      <c r="BG59" s="1401"/>
      <c r="BH59" s="1444"/>
      <c r="BI59" s="1401"/>
      <c r="BJ59" s="1401"/>
      <c r="BK59" s="1401"/>
      <c r="BL59" s="1401"/>
      <c r="BM59" s="1401"/>
      <c r="BN59" s="1435"/>
      <c r="BO59" s="1401"/>
      <c r="BP59" s="1401"/>
      <c r="BQ59" s="1401"/>
      <c r="BR59" s="1401"/>
      <c r="BS59" s="1401"/>
      <c r="BT59" s="1401"/>
      <c r="BU59" s="1434"/>
      <c r="BV59" s="1401"/>
      <c r="BW59" s="1401"/>
      <c r="BX59" s="1401"/>
      <c r="BY59" s="561">
        <f ca="1">IF($BD$1&lt;=7,COUNTIF($C59:$I59,"1")+RAND()*0.0001,COUNTIF($J59:$P59,"1")+RAND()*0.0001)</f>
        <v>3.3144294149038677E-5</v>
      </c>
      <c r="BZ59" s="561" t="str">
        <f ca="1">IF(BY59&lt;1,"",AX59)</f>
        <v/>
      </c>
      <c r="CA59" s="561">
        <f ca="1">IF($BD$1&lt;=7,COUNTIF($C59:$I59,"2")+RAND()*0.0001,COUNTIF($J59:$P59,"2")+RAND()*0.0001)</f>
        <v>2.34284267190223E-5</v>
      </c>
      <c r="CB59" s="561" t="str">
        <f ca="1">IF(CA59&lt;1,"",AX59)</f>
        <v/>
      </c>
      <c r="CC59" s="561">
        <f ca="1">IF($BD$1&lt;=7,COUNTIF($C59:$I59,"3")+RAND()*0.0001,COUNTIF($J59:$P59,"3")+RAND()*0.0001)</f>
        <v>9.955372521877498E-5</v>
      </c>
      <c r="CD59" s="561" t="str">
        <f ca="1">IF(CC59&lt;1,"",AX59)</f>
        <v/>
      </c>
      <c r="CE59" s="561">
        <f ca="1">IF($BD$1&lt;=7,COUNTIF($C59:$I59,"4")+RAND()*0.0001,COUNTIF($J59:$P59,"4")+RAND()*0.0001)</f>
        <v>9.4961671741154794E-5</v>
      </c>
      <c r="CF59" s="561" t="str">
        <f ca="1">IF(CE59&lt;1,"",AX59)</f>
        <v/>
      </c>
      <c r="CG59" s="561">
        <f ca="1">IF($BD$1&lt;=7,COUNTIF($C59:$I59,"5")+RAND()*0.0001,COUNTIF($J59:$P59,"5")+RAND()*0.0001)</f>
        <v>5.1963523991747674E-5</v>
      </c>
      <c r="CH59" s="561" t="str">
        <f ca="1">IF(CG59&lt;1,"",AX59)</f>
        <v/>
      </c>
      <c r="CI59" s="561">
        <f ca="1">IF($BD$1&lt;=7,COUNTIF($C59:$I59,"6")+RAND()*0.0001,COUNTIF($J59:$P59,"6")+RAND()*0.0001)</f>
        <v>4.8953089578964692E-5</v>
      </c>
      <c r="CJ59" s="561" t="str">
        <f ca="1">IF(CI59&lt;1,"",AX59)</f>
        <v/>
      </c>
      <c r="CK59" s="561">
        <f ca="1">IF($BD$1&lt;=7,COUNTIF($C59:$I59,"7")+RAND()*0.0001,COUNTIF($J59:$P59,"7")+RAND()*0.0001)</f>
        <v>1.869193691159893E-5</v>
      </c>
      <c r="CL59" s="561" t="str">
        <f ca="1">IF(CK59&lt;1,"",AX59)</f>
        <v/>
      </c>
      <c r="CM59" s="561">
        <f ca="1">IF($BD$1&lt;=7,COUNTIF($C59:$I59,"8")+RAND()*0.0001,COUNTIF($J59:$P59,"8")+RAND()*0.0001)</f>
        <v>9.7623948230565872E-6</v>
      </c>
      <c r="CN59" s="561" t="str">
        <f ca="1">IF(CM59&lt;1,"",AX59)</f>
        <v/>
      </c>
      <c r="CO59" s="1401"/>
      <c r="CP59" s="1401" t="e">
        <f ca="1">AE59+RAND()*0.01</f>
        <v>#VALUE!</v>
      </c>
      <c r="CQ59" s="1433">
        <f>VLOOKUP(C59,$CO$2:$DF$11,18,FALSE)</f>
        <v>0</v>
      </c>
      <c r="CR59" s="1433">
        <f>VLOOKUP(D59,$CO$2:$DF$11,18,FALSE)</f>
        <v>0</v>
      </c>
      <c r="CS59" s="1433">
        <f>VLOOKUP(E59,$CO$2:$DF$11,18,FALSE)</f>
        <v>0</v>
      </c>
      <c r="CT59" s="1433">
        <f>VLOOKUP(F59,$CO$2:$DF$11,18,FALSE)</f>
        <v>0</v>
      </c>
      <c r="CU59" s="1433">
        <f>VLOOKUP(G59,$CO$2:$DF$11,18,FALSE)</f>
        <v>0</v>
      </c>
      <c r="CV59" s="1433">
        <f>VLOOKUP(H59,$CO$2:$DF$11,18,FALSE)</f>
        <v>0</v>
      </c>
      <c r="CW59" s="1433">
        <f>VLOOKUP(I59,$CO$2:$DF$11,18,FALSE)</f>
        <v>0</v>
      </c>
      <c r="CX59" s="1433">
        <f>VLOOKUP(J59,$CO$2:$DF$11,18,FALSE)</f>
        <v>0</v>
      </c>
      <c r="CY59" s="1433">
        <f>VLOOKUP(K59,$CO$2:$DF$11,18,FALSE)</f>
        <v>0</v>
      </c>
      <c r="CZ59" s="1433">
        <f>VLOOKUP(L59,$CO$2:$DF$11,18,FALSE)</f>
        <v>0</v>
      </c>
      <c r="DA59" s="1433">
        <f>VLOOKUP(M59,$CO$2:$DF$11,18,FALSE)</f>
        <v>0</v>
      </c>
      <c r="DB59" s="1433">
        <f>VLOOKUP(N59,$CO$2:$DF$11,18,FALSE)</f>
        <v>0</v>
      </c>
      <c r="DC59" s="1433">
        <f>VLOOKUP(O59,$CO$2:$DF$11,18,FALSE)</f>
        <v>0</v>
      </c>
      <c r="DD59" s="1433">
        <f>VLOOKUP(P59,$CO$2:$DF$11,18,FALSE)</f>
        <v>0</v>
      </c>
      <c r="DE59" s="1432">
        <f>IF(AND(DI59=0,A59=""),AL59,IF(DI59=0,AL59+VLOOKUP(AX59,[10]Critérium!$AC$49:$DE$100,81,FALSE),AL59+VLOOKUP(AX59,[10]Critérium!$B$6:$T$22,19,FALSE)+VLOOKUP(AX59,[10]Critérium!$AC$49:$DE$100,81,FALSE)))</f>
        <v>0</v>
      </c>
      <c r="DF59" s="1431"/>
      <c r="DG59" s="1429">
        <f>IF(AND(DI59=0,A59=""),AM59,IF(DI59=0,AM59+VLOOKUP(AX59,[10]Critérium!$AC$49:$DH$100,84,FALSE),AM59+VLOOKUP(AX59,[10]Critérium!$B$6:$V$22,21,FALSE)+VLOOKUP(AX59,[10]Critérium!$AC$49:$DH$100,84,FALSE)))</f>
        <v>0</v>
      </c>
      <c r="DH59" s="1430">
        <f ca="1">IF(DG59=0,0,(DE59/DG59+RAND()*0.0001))</f>
        <v>0</v>
      </c>
      <c r="DI59" s="1429">
        <f>VLOOKUP(AX59,[10]liste!AN:AR,5,FALSE)</f>
        <v>0</v>
      </c>
      <c r="DJ59" s="1427">
        <f ca="1">DG59+RAND()</f>
        <v>0.45102093866470783</v>
      </c>
      <c r="DK59" s="1427" t="str">
        <f>A59</f>
        <v/>
      </c>
      <c r="DL59" s="1427"/>
      <c r="DM59" s="1428">
        <f>HLOOKUP($DM$1,$C$1:$P$70,59,FALSE)</f>
        <v>0</v>
      </c>
      <c r="DN59" s="1428">
        <f>HLOOKUP($DN$1,$Q$1:$AD$70,59,FALSE)</f>
        <v>0</v>
      </c>
      <c r="DO59" s="1401"/>
      <c r="DP59" s="1401"/>
      <c r="DQ59" s="1401"/>
      <c r="DR59" s="1400">
        <f>IF(SUM(C59:P59)=0,0,(AE59*10/SUM(C59:P59)/2)*AE59/21)</f>
        <v>0</v>
      </c>
      <c r="DS59" s="1427"/>
      <c r="DT59" s="1427"/>
      <c r="DU59" s="1427"/>
      <c r="DV59" s="1427"/>
      <c r="DW59" s="1427"/>
      <c r="DX59" s="1427"/>
      <c r="DY59" s="1427"/>
      <c r="DZ59" s="1427"/>
      <c r="EA59" s="1427"/>
      <c r="EB59" s="1427"/>
      <c r="EC59" s="1427"/>
      <c r="ED59" s="1427"/>
      <c r="EE59" s="1427"/>
      <c r="EF59" s="1427"/>
      <c r="EG59" s="1427"/>
      <c r="EH59" s="1427"/>
      <c r="EI59" s="1427"/>
      <c r="EJ59" s="1427"/>
      <c r="EK59" s="1427"/>
      <c r="EL59" s="1427"/>
      <c r="EM59" s="1427"/>
      <c r="EN59" s="1427"/>
      <c r="EO59" s="1427"/>
      <c r="EP59" s="1427"/>
      <c r="EQ59" s="1427"/>
      <c r="ER59" s="1427"/>
      <c r="ES59" s="1427"/>
      <c r="ET59" s="1427"/>
      <c r="EU59" s="1427"/>
      <c r="EV59" s="1427"/>
      <c r="EW59" s="1427"/>
      <c r="EX59" s="1427"/>
      <c r="EY59" s="1427"/>
      <c r="EZ59" s="1427"/>
      <c r="FA59" s="1427"/>
      <c r="FB59" s="1427"/>
      <c r="FC59" s="1427"/>
      <c r="FD59" s="1427"/>
      <c r="FE59" s="1427"/>
      <c r="FF59" s="1427"/>
      <c r="FG59" s="1427"/>
      <c r="FH59" s="1427"/>
      <c r="FI59" s="1427"/>
      <c r="FJ59" s="1427"/>
      <c r="FK59" s="1427"/>
      <c r="FL59" s="1427"/>
      <c r="FM59" s="1427"/>
      <c r="FN59" s="1427"/>
      <c r="FO59" s="1427"/>
      <c r="FP59" s="1427"/>
      <c r="FQ59" s="1427"/>
    </row>
    <row r="60" spans="1:173" s="1426" customFormat="1" ht="21.95" customHeight="1">
      <c r="A60" s="1443" t="str">
        <f>[10]points!B74</f>
        <v/>
      </c>
      <c r="B60" s="1442" t="str">
        <f>IF(A60="","",VLOOKUP(A60,[10]liste!AN:AQ,4,FALSE))</f>
        <v/>
      </c>
      <c r="C60" s="1441"/>
      <c r="D60" s="1441"/>
      <c r="E60" s="1441"/>
      <c r="F60" s="1441"/>
      <c r="G60" s="1441"/>
      <c r="H60" s="1441"/>
      <c r="I60" s="1441"/>
      <c r="J60" s="1441"/>
      <c r="K60" s="1441"/>
      <c r="L60" s="1441"/>
      <c r="M60" s="1441"/>
      <c r="N60" s="1441"/>
      <c r="O60" s="1441"/>
      <c r="P60" s="1441"/>
      <c r="Q60" s="1441"/>
      <c r="R60" s="1441"/>
      <c r="S60" s="1441"/>
      <c r="T60" s="1441"/>
      <c r="U60" s="1441"/>
      <c r="V60" s="1441"/>
      <c r="W60" s="1441"/>
      <c r="X60" s="1441"/>
      <c r="Y60" s="1441"/>
      <c r="Z60" s="1441"/>
      <c r="AA60" s="1441"/>
      <c r="AB60" s="1441"/>
      <c r="AC60" s="1441"/>
      <c r="AD60" s="1441"/>
      <c r="AE60" s="1440" t="str">
        <f>IF(B60="","",COUNTA(Q60:AD60))</f>
        <v/>
      </c>
      <c r="AF60" s="1439">
        <f>SUM(Q60:W60)</f>
        <v>0</v>
      </c>
      <c r="AG60" s="1439">
        <f>SUM(CQ60:CW60)</f>
        <v>0</v>
      </c>
      <c r="AH60" s="1438" t="str">
        <f>IF(AG60=0,"X",AF60/AG60)</f>
        <v>X</v>
      </c>
      <c r="AI60" s="1439">
        <f>SUM(X60:AD60)</f>
        <v>0</v>
      </c>
      <c r="AJ60" s="1439">
        <f>SUM(CX60:DD60)</f>
        <v>0</v>
      </c>
      <c r="AK60" s="1438" t="str">
        <f>IF(AJ60=0,"X",AI60/AJ60)</f>
        <v>X</v>
      </c>
      <c r="AL60" s="1439">
        <f>SUM(Q60:AD60)</f>
        <v>0</v>
      </c>
      <c r="AM60" s="1439">
        <f>SUM(CQ60:DD60)</f>
        <v>0</v>
      </c>
      <c r="AN60" s="1438" t="str">
        <f>IF(CQ60+CR60+CS60+CT60+CU60+CV60+CW60+CX60+CY60+CZ60+DA60+DB60+DC60+DD60=0,"",MINVERSE(CQ60+CR60+CS60+CT60+CU60+CV60+CW60+CX60+CY60+CZ60+DA60+DB60+DC60+DD60)*AL60)</f>
        <v/>
      </c>
      <c r="AO60" s="1437">
        <f ca="1">IF(B60="",10,B60+RAND()*0.01)</f>
        <v>10</v>
      </c>
      <c r="AP60" s="1437" t="str">
        <f ca="1">IF(AND(C60="",J60=""),"e",IF(J60="",IF($BD$1&lt;=7,C60+RAND()*0.01,"e"),J60+RAND()*0.01))</f>
        <v>e</v>
      </c>
      <c r="AQ60" s="1437" t="str">
        <f ca="1">IF(AND(D60="",K60=""),"e",IF(K60="",IF($BD$1&lt;=7,D60+RAND()*0.01,"e"),K60+RAND()*0.01))</f>
        <v>e</v>
      </c>
      <c r="AR60" s="1437" t="str">
        <f ca="1">IF(AND(E60="",L60=""),"e",IF(L60="",IF($BD$1&lt;=7,E60+RAND()*0.01,"e"),L60+RAND()*0.01))</f>
        <v>e</v>
      </c>
      <c r="AS60" s="1437" t="str">
        <f ca="1">IF(AND(F60="",M60=""),"e",IF(M60="",IF($BD$1&lt;=7,F60+RAND()*0.01,"e"),M60+RAND()*0.01))</f>
        <v>e</v>
      </c>
      <c r="AT60" s="1437" t="str">
        <f ca="1">IF(AND(G60="",N60=""),"e",IF(N60="",IF($BD$1&lt;=7,G60+RAND()*0.01,"e"),N60+RAND()*0.01))</f>
        <v>e</v>
      </c>
      <c r="AU60" s="1437" t="str">
        <f ca="1">IF(AND(H60="",O60=""),"e",IF(O60="",IF($BD$1&lt;=7,H60+RAND()*0.01,"e"),O60+RAND()*0.01))</f>
        <v>e</v>
      </c>
      <c r="AV60" s="1437" t="str">
        <f ca="1">IF(AND(I60="",P60=""),"e",IF(P60="",IF($BD$1&lt;=7,I60+RAND()*0.01,"e"),P60+RAND()*0.01))</f>
        <v>e</v>
      </c>
      <c r="AW60" s="1437"/>
      <c r="AX60" s="1436" t="str">
        <f>A60</f>
        <v/>
      </c>
      <c r="AY60" s="1580" t="str">
        <f>IF(OR($H$2&gt;0,$H$3&gt;0,$H$4&gt;0,$H$5&gt;0,$H$6&gt;0,$H$7&gt;0,$H$8&gt;0,$H$2&gt;0),"",IF(COUNTIF(C60:H60,"")&gt;=5,"",IF(COUNTIF(C60:H60,SMALL(C60:H60,1))&gt;=2,SMALL(C60:H60,1),SMALL(C60:H60,2))))</f>
        <v/>
      </c>
      <c r="AZ60" s="1581" t="str">
        <f>IF(COUNTIF(J60:O60,"")&gt;=5,"",IF(COUNTIF(J60:O60,SMALL(J60:O60,1))&gt;=2,SMALL(J60:O60,1),SMALL(J60:O60,2)))</f>
        <v/>
      </c>
      <c r="BA60" s="1401"/>
      <c r="BB60" s="1401"/>
      <c r="BC60" s="1445"/>
      <c r="BD60" s="1445"/>
      <c r="BE60" s="1401"/>
      <c r="BF60" s="1401"/>
      <c r="BG60" s="1401"/>
      <c r="BH60" s="1444"/>
      <c r="BI60" s="1401"/>
      <c r="BJ60" s="1401"/>
      <c r="BK60" s="1401"/>
      <c r="BL60" s="1401"/>
      <c r="BM60" s="1401"/>
      <c r="BN60" s="1435"/>
      <c r="BO60" s="1401"/>
      <c r="BP60" s="1401"/>
      <c r="BQ60" s="1401"/>
      <c r="BR60" s="1401"/>
      <c r="BS60" s="1401"/>
      <c r="BT60" s="1401"/>
      <c r="BU60" s="1434"/>
      <c r="BV60" s="1401"/>
      <c r="BW60" s="1401"/>
      <c r="BX60" s="1401"/>
      <c r="BY60" s="561">
        <f ca="1">IF($BD$1&lt;=7,COUNTIF($C60:$I60,"1")+RAND()*0.0001,COUNTIF($J60:$P60,"1")+RAND()*0.0001)</f>
        <v>4.2531113528294265E-5</v>
      </c>
      <c r="BZ60" s="561" t="str">
        <f ca="1">IF(BY60&lt;1,"",AX60)</f>
        <v/>
      </c>
      <c r="CA60" s="561">
        <f ca="1">IF($BD$1&lt;=7,COUNTIF($C60:$I60,"2")+RAND()*0.0001,COUNTIF($J60:$P60,"2")+RAND()*0.0001)</f>
        <v>1.7518488583309055E-5</v>
      </c>
      <c r="CB60" s="561" t="str">
        <f ca="1">IF(CA60&lt;1,"",AX60)</f>
        <v/>
      </c>
      <c r="CC60" s="561">
        <f ca="1">IF($BD$1&lt;=7,COUNTIF($C60:$I60,"3")+RAND()*0.0001,COUNTIF($J60:$P60,"3")+RAND()*0.0001)</f>
        <v>5.88797249265703E-5</v>
      </c>
      <c r="CD60" s="561" t="str">
        <f ca="1">IF(CC60&lt;1,"",AX60)</f>
        <v/>
      </c>
      <c r="CE60" s="561">
        <f ca="1">IF($BD$1&lt;=7,COUNTIF($C60:$I60,"4")+RAND()*0.0001,COUNTIF($J60:$P60,"4")+RAND()*0.0001)</f>
        <v>7.8522031736703561E-5</v>
      </c>
      <c r="CF60" s="561" t="str">
        <f ca="1">IF(CE60&lt;1,"",AX60)</f>
        <v/>
      </c>
      <c r="CG60" s="561">
        <f ca="1">IF($BD$1&lt;=7,COUNTIF($C60:$I60,"5")+RAND()*0.0001,COUNTIF($J60:$P60,"5")+RAND()*0.0001)</f>
        <v>5.244238520760618E-5</v>
      </c>
      <c r="CH60" s="561" t="str">
        <f ca="1">IF(CG60&lt;1,"",AX60)</f>
        <v/>
      </c>
      <c r="CI60" s="561">
        <f ca="1">IF($BD$1&lt;=7,COUNTIF($C60:$I60,"6")+RAND()*0.0001,COUNTIF($J60:$P60,"6")+RAND()*0.0001)</f>
        <v>3.4978368280041794E-5</v>
      </c>
      <c r="CJ60" s="561" t="str">
        <f ca="1">IF(CI60&lt;1,"",AX60)</f>
        <v/>
      </c>
      <c r="CK60" s="561">
        <f ca="1">IF($BD$1&lt;=7,COUNTIF($C60:$I60,"7")+RAND()*0.0001,COUNTIF($J60:$P60,"7")+RAND()*0.0001)</f>
        <v>8.309152894571307E-5</v>
      </c>
      <c r="CL60" s="561" t="str">
        <f ca="1">IF(CK60&lt;1,"",AX60)</f>
        <v/>
      </c>
      <c r="CM60" s="561">
        <f ca="1">IF($BD$1&lt;=7,COUNTIF($C60:$I60,"8")+RAND()*0.0001,COUNTIF($J60:$P60,"8")+RAND()*0.0001)</f>
        <v>2.1604130991408599E-5</v>
      </c>
      <c r="CN60" s="561" t="str">
        <f ca="1">IF(CM60&lt;1,"",AX60)</f>
        <v/>
      </c>
      <c r="CO60" s="1401"/>
      <c r="CP60" s="1401" t="e">
        <f ca="1">AE60+RAND()*0.01</f>
        <v>#VALUE!</v>
      </c>
      <c r="CQ60" s="1433">
        <f>VLOOKUP(C60,$CO$2:$DF$11,18,FALSE)</f>
        <v>0</v>
      </c>
      <c r="CR60" s="1433">
        <f>VLOOKUP(D60,$CO$2:$DF$11,18,FALSE)</f>
        <v>0</v>
      </c>
      <c r="CS60" s="1433">
        <f>VLOOKUP(E60,$CO$2:$DF$11,18,FALSE)</f>
        <v>0</v>
      </c>
      <c r="CT60" s="1433">
        <f>VLOOKUP(F60,$CO$2:$DF$11,18,FALSE)</f>
        <v>0</v>
      </c>
      <c r="CU60" s="1433">
        <f>VLOOKUP(G60,$CO$2:$DF$11,18,FALSE)</f>
        <v>0</v>
      </c>
      <c r="CV60" s="1433">
        <f>VLOOKUP(H60,$CO$2:$DF$11,18,FALSE)</f>
        <v>0</v>
      </c>
      <c r="CW60" s="1433">
        <f>VLOOKUP(I60,$CO$2:$DF$11,18,FALSE)</f>
        <v>0</v>
      </c>
      <c r="CX60" s="1433">
        <f>VLOOKUP(J60,$CO$2:$DF$11,18,FALSE)</f>
        <v>0</v>
      </c>
      <c r="CY60" s="1433">
        <f>VLOOKUP(K60,$CO$2:$DF$11,18,FALSE)</f>
        <v>0</v>
      </c>
      <c r="CZ60" s="1433">
        <f>VLOOKUP(L60,$CO$2:$DF$11,18,FALSE)</f>
        <v>0</v>
      </c>
      <c r="DA60" s="1433">
        <f>VLOOKUP(M60,$CO$2:$DF$11,18,FALSE)</f>
        <v>0</v>
      </c>
      <c r="DB60" s="1433">
        <f>VLOOKUP(N60,$CO$2:$DF$11,18,FALSE)</f>
        <v>0</v>
      </c>
      <c r="DC60" s="1433">
        <f>VLOOKUP(O60,$CO$2:$DF$11,18,FALSE)</f>
        <v>0</v>
      </c>
      <c r="DD60" s="1433">
        <f>VLOOKUP(P60,$CO$2:$DF$11,18,FALSE)</f>
        <v>0</v>
      </c>
      <c r="DE60" s="1432">
        <f>IF(AND(DI60=0,A60=""),AL60,IF(DI60=0,AL60+VLOOKUP(AX60,[10]Critérium!$AC$49:$DE$100,81,FALSE),AL60+VLOOKUP(AX60,[10]Critérium!$B$6:$T$22,19,FALSE)+VLOOKUP(AX60,[10]Critérium!$AC$49:$DE$100,81,FALSE)))</f>
        <v>0</v>
      </c>
      <c r="DF60" s="1431"/>
      <c r="DG60" s="1429">
        <f>IF(AND(DI60=0,A60=""),AM60,IF(DI60=0,AM60+VLOOKUP(AX60,[10]Critérium!$AC$49:$DH$100,84,FALSE),AM60+VLOOKUP(AX60,[10]Critérium!$B$6:$V$22,21,FALSE)+VLOOKUP(AX60,[10]Critérium!$AC$49:$DH$100,84,FALSE)))</f>
        <v>0</v>
      </c>
      <c r="DH60" s="1430">
        <f ca="1">IF(DG60=0,0,(DE60/DG60+RAND()*0.0001))</f>
        <v>0</v>
      </c>
      <c r="DI60" s="1429">
        <f>VLOOKUP(AX60,[10]liste!AN:AR,5,FALSE)</f>
        <v>0</v>
      </c>
      <c r="DJ60" s="1427">
        <f ca="1">DG60+RAND()</f>
        <v>0.42096102400665503</v>
      </c>
      <c r="DK60" s="1427" t="str">
        <f>A60</f>
        <v/>
      </c>
      <c r="DL60" s="1427"/>
      <c r="DM60" s="1428">
        <f>HLOOKUP($DM$1,$C$1:$P$70,60,FALSE)</f>
        <v>0</v>
      </c>
      <c r="DN60" s="1428">
        <f>HLOOKUP($DN$1,$Q$1:$AD$70,60,FALSE)</f>
        <v>0</v>
      </c>
      <c r="DO60" s="1401"/>
      <c r="DP60" s="1401"/>
      <c r="DQ60" s="1401"/>
      <c r="DR60" s="1400">
        <f>IF(SUM(C60:P60)=0,0,(AE60*10/SUM(C60:P60)/2)*AE60/21)</f>
        <v>0</v>
      </c>
      <c r="DS60" s="1427"/>
      <c r="DT60" s="1427"/>
      <c r="DU60" s="1427"/>
      <c r="DV60" s="1427"/>
      <c r="DW60" s="1427"/>
      <c r="DX60" s="1427"/>
      <c r="DY60" s="1427"/>
      <c r="DZ60" s="1427"/>
      <c r="EA60" s="1427"/>
      <c r="EB60" s="1427"/>
      <c r="EC60" s="1427"/>
      <c r="ED60" s="1427"/>
      <c r="EE60" s="1427"/>
      <c r="EF60" s="1427"/>
      <c r="EG60" s="1427"/>
      <c r="EH60" s="1427"/>
      <c r="EI60" s="1427"/>
      <c r="EJ60" s="1427"/>
      <c r="EK60" s="1427"/>
      <c r="EL60" s="1427"/>
      <c r="EM60" s="1427"/>
      <c r="EN60" s="1427"/>
      <c r="EO60" s="1427"/>
      <c r="EP60" s="1427"/>
      <c r="EQ60" s="1427"/>
      <c r="ER60" s="1427"/>
      <c r="ES60" s="1427"/>
      <c r="ET60" s="1427"/>
      <c r="EU60" s="1427"/>
      <c r="EV60" s="1427"/>
      <c r="EW60" s="1427"/>
      <c r="EX60" s="1427"/>
      <c r="EY60" s="1427"/>
      <c r="EZ60" s="1427"/>
      <c r="FA60" s="1427"/>
      <c r="FB60" s="1427"/>
      <c r="FC60" s="1427"/>
      <c r="FD60" s="1427"/>
      <c r="FE60" s="1427"/>
      <c r="FF60" s="1427"/>
      <c r="FG60" s="1427"/>
      <c r="FH60" s="1427"/>
      <c r="FI60" s="1427"/>
      <c r="FJ60" s="1427"/>
      <c r="FK60" s="1427"/>
      <c r="FL60" s="1427"/>
      <c r="FM60" s="1427"/>
      <c r="FN60" s="1427"/>
      <c r="FO60" s="1427"/>
      <c r="FP60" s="1427"/>
      <c r="FQ60" s="1427"/>
    </row>
    <row r="61" spans="1:173" s="1426" customFormat="1" ht="21.95" customHeight="1">
      <c r="A61" s="1443" t="str">
        <f>[10]points!B75</f>
        <v/>
      </c>
      <c r="B61" s="1442" t="str">
        <f>IF(A61="","",VLOOKUP(A61,[10]liste!AN:AQ,4,FALSE))</f>
        <v/>
      </c>
      <c r="C61" s="1441"/>
      <c r="D61" s="1441"/>
      <c r="E61" s="1441"/>
      <c r="F61" s="1441"/>
      <c r="G61" s="1441"/>
      <c r="H61" s="1441"/>
      <c r="I61" s="1441"/>
      <c r="J61" s="1441"/>
      <c r="K61" s="1441"/>
      <c r="L61" s="1441"/>
      <c r="M61" s="1441"/>
      <c r="N61" s="1441"/>
      <c r="O61" s="1441"/>
      <c r="P61" s="1441"/>
      <c r="Q61" s="1441"/>
      <c r="R61" s="1441"/>
      <c r="S61" s="1441"/>
      <c r="T61" s="1441"/>
      <c r="U61" s="1441"/>
      <c r="V61" s="1441"/>
      <c r="W61" s="1441"/>
      <c r="X61" s="1441"/>
      <c r="Y61" s="1441"/>
      <c r="Z61" s="1441"/>
      <c r="AA61" s="1441"/>
      <c r="AB61" s="1441"/>
      <c r="AC61" s="1441"/>
      <c r="AD61" s="1441"/>
      <c r="AE61" s="1440" t="str">
        <f>IF(B61="","",COUNTA(Q61:AD61))</f>
        <v/>
      </c>
      <c r="AF61" s="1439">
        <f>SUM(Q61:W61)</f>
        <v>0</v>
      </c>
      <c r="AG61" s="1439">
        <f>SUM(CQ61:CW61)</f>
        <v>0</v>
      </c>
      <c r="AH61" s="1438" t="str">
        <f>IF(AG61=0,"X",AF61/AG61)</f>
        <v>X</v>
      </c>
      <c r="AI61" s="1439">
        <f>SUM(X61:AD61)</f>
        <v>0</v>
      </c>
      <c r="AJ61" s="1439">
        <f>SUM(CX61:DD61)</f>
        <v>0</v>
      </c>
      <c r="AK61" s="1438" t="str">
        <f>IF(AJ61=0,"X",AI61/AJ61)</f>
        <v>X</v>
      </c>
      <c r="AL61" s="1439">
        <f>SUM(Q61:AD61)</f>
        <v>0</v>
      </c>
      <c r="AM61" s="1439">
        <f>SUM(CQ61:DD61)</f>
        <v>0</v>
      </c>
      <c r="AN61" s="1438" t="str">
        <f>IF(CQ61+CR61+CS61+CT61+CU61+CV61+CW61+CX61+CY61+CZ61+DA61+DB61+DC61+DD61=0,"",MINVERSE(CQ61+CR61+CS61+CT61+CU61+CV61+CW61+CX61+CY61+CZ61+DA61+DB61+DC61+DD61)*AL61)</f>
        <v/>
      </c>
      <c r="AO61" s="1437">
        <f ca="1">IF(B61="",10,B61+RAND()*0.01)</f>
        <v>10</v>
      </c>
      <c r="AP61" s="1437" t="str">
        <f ca="1">IF(AND(C61="",J61=""),"e",IF(J61="",IF($BD$1&lt;=7,C61+RAND()*0.01,"e"),J61+RAND()*0.01))</f>
        <v>e</v>
      </c>
      <c r="AQ61" s="1437" t="str">
        <f ca="1">IF(AND(D61="",K61=""),"e",IF(K61="",IF($BD$1&lt;=7,D61+RAND()*0.01,"e"),K61+RAND()*0.01))</f>
        <v>e</v>
      </c>
      <c r="AR61" s="1437" t="str">
        <f ca="1">IF(AND(E61="",L61=""),"e",IF(L61="",IF($BD$1&lt;=7,E61+RAND()*0.01,"e"),L61+RAND()*0.01))</f>
        <v>e</v>
      </c>
      <c r="AS61" s="1437" t="str">
        <f ca="1">IF(AND(F61="",M61=""),"e",IF(M61="",IF($BD$1&lt;=7,F61+RAND()*0.01,"e"),M61+RAND()*0.01))</f>
        <v>e</v>
      </c>
      <c r="AT61" s="1437" t="str">
        <f ca="1">IF(AND(G61="",N61=""),"e",IF(N61="",IF($BD$1&lt;=7,G61+RAND()*0.01,"e"),N61+RAND()*0.01))</f>
        <v>e</v>
      </c>
      <c r="AU61" s="1437" t="str">
        <f ca="1">IF(AND(H61="",O61=""),"e",IF(O61="",IF($BD$1&lt;=7,H61+RAND()*0.01,"e"),O61+RAND()*0.01))</f>
        <v>e</v>
      </c>
      <c r="AV61" s="1437" t="str">
        <f ca="1">IF(AND(I61="",P61=""),"e",IF(P61="",IF($BD$1&lt;=7,I61+RAND()*0.01,"e"),P61+RAND()*0.01))</f>
        <v>e</v>
      </c>
      <c r="AW61" s="1437"/>
      <c r="AX61" s="1436" t="str">
        <f>A61</f>
        <v/>
      </c>
      <c r="AY61" s="1580" t="str">
        <f>IF(OR($H$2&gt;0,$H$3&gt;0,$H$4&gt;0,$H$5&gt;0,$H$6&gt;0,$H$7&gt;0,$H$8&gt;0,$H$2&gt;0),"",IF(COUNTIF(C61:H61,"")&gt;=5,"",IF(COUNTIF(C61:H61,SMALL(C61:H61,1))&gt;=2,SMALL(C61:H61,1),SMALL(C61:H61,2))))</f>
        <v/>
      </c>
      <c r="AZ61" s="1581" t="str">
        <f>IF(COUNTIF(J61:O61,"")&gt;=5,"",IF(COUNTIF(J61:O61,SMALL(J61:O61,1))&gt;=2,SMALL(J61:O61,1),SMALL(J61:O61,2)))</f>
        <v/>
      </c>
      <c r="BA61" s="1401"/>
      <c r="BB61" s="1401"/>
      <c r="BC61" s="1401"/>
      <c r="BD61" s="1435"/>
      <c r="BE61" s="1401"/>
      <c r="BF61" s="1401"/>
      <c r="BG61" s="1401"/>
      <c r="BH61" s="1444"/>
      <c r="BI61" s="1401"/>
      <c r="BJ61" s="1401"/>
      <c r="BK61" s="1401"/>
      <c r="BL61" s="1401"/>
      <c r="BM61" s="1401"/>
      <c r="BN61" s="1435"/>
      <c r="BO61" s="1401"/>
      <c r="BP61" s="1401"/>
      <c r="BQ61" s="1401"/>
      <c r="BR61" s="1401"/>
      <c r="BS61" s="1401"/>
      <c r="BT61" s="1401"/>
      <c r="BU61" s="1434"/>
      <c r="BV61" s="1401"/>
      <c r="BW61" s="1401"/>
      <c r="BX61" s="1401"/>
      <c r="BY61" s="561">
        <f ca="1">IF($BD$1&lt;=7,COUNTIF($C61:$I61,"1")+RAND()*0.0001,COUNTIF($J61:$P61,"1")+RAND()*0.0001)</f>
        <v>7.1811033335528139E-5</v>
      </c>
      <c r="BZ61" s="561" t="str">
        <f ca="1">IF(BY61&lt;1,"",AX61)</f>
        <v/>
      </c>
      <c r="CA61" s="561">
        <f ca="1">IF($BD$1&lt;=7,COUNTIF($C61:$I61,"2")+RAND()*0.0001,COUNTIF($J61:$P61,"2")+RAND()*0.0001)</f>
        <v>1.7099231919017665E-5</v>
      </c>
      <c r="CB61" s="561" t="str">
        <f ca="1">IF(CA61&lt;1,"",AX61)</f>
        <v/>
      </c>
      <c r="CC61" s="561">
        <f ca="1">IF($BD$1&lt;=7,COUNTIF($C61:$I61,"3")+RAND()*0.0001,COUNTIF($J61:$P61,"3")+RAND()*0.0001)</f>
        <v>9.367766270363141E-5</v>
      </c>
      <c r="CD61" s="561" t="str">
        <f ca="1">IF(CC61&lt;1,"",AX61)</f>
        <v/>
      </c>
      <c r="CE61" s="561">
        <f ca="1">IF($BD$1&lt;=7,COUNTIF($C61:$I61,"4")+RAND()*0.0001,COUNTIF($J61:$P61,"4")+RAND()*0.0001)</f>
        <v>1.1403459445575115E-5</v>
      </c>
      <c r="CF61" s="561" t="str">
        <f ca="1">IF(CE61&lt;1,"",AX61)</f>
        <v/>
      </c>
      <c r="CG61" s="561">
        <f ca="1">IF($BD$1&lt;=7,COUNTIF($C61:$I61,"5")+RAND()*0.0001,COUNTIF($J61:$P61,"5")+RAND()*0.0001)</f>
        <v>2.7997661199711812E-6</v>
      </c>
      <c r="CH61" s="561" t="str">
        <f ca="1">IF(CG61&lt;1,"",AX61)</f>
        <v/>
      </c>
      <c r="CI61" s="561">
        <f ca="1">IF($BD$1&lt;=7,COUNTIF($C61:$I61,"6")+RAND()*0.0001,COUNTIF($J61:$P61,"6")+RAND()*0.0001)</f>
        <v>9.4002000791111858E-5</v>
      </c>
      <c r="CJ61" s="561" t="str">
        <f ca="1">IF(CI61&lt;1,"",AX61)</f>
        <v/>
      </c>
      <c r="CK61" s="561">
        <f ca="1">IF($BD$1&lt;=7,COUNTIF($C61:$I61,"7")+RAND()*0.0001,COUNTIF($J61:$P61,"7")+RAND()*0.0001)</f>
        <v>8.1926965416682308E-5</v>
      </c>
      <c r="CL61" s="561" t="str">
        <f ca="1">IF(CK61&lt;1,"",AX61)</f>
        <v/>
      </c>
      <c r="CM61" s="561">
        <f ca="1">IF($BD$1&lt;=7,COUNTIF($C61:$I61,"8")+RAND()*0.0001,COUNTIF($J61:$P61,"8")+RAND()*0.0001)</f>
        <v>6.2972622684872001E-5</v>
      </c>
      <c r="CN61" s="561" t="str">
        <f ca="1">IF(CM61&lt;1,"",AX61)</f>
        <v/>
      </c>
      <c r="CO61" s="1401"/>
      <c r="CP61" s="1401" t="e">
        <f ca="1">AE61+RAND()*0.01</f>
        <v>#VALUE!</v>
      </c>
      <c r="CQ61" s="1433">
        <f>VLOOKUP(C61,$CO$2:$DF$11,18,FALSE)</f>
        <v>0</v>
      </c>
      <c r="CR61" s="1433">
        <f>VLOOKUP(D61,$CO$2:$DF$11,18,FALSE)</f>
        <v>0</v>
      </c>
      <c r="CS61" s="1433">
        <f>VLOOKUP(E61,$CO$2:$DF$11,18,FALSE)</f>
        <v>0</v>
      </c>
      <c r="CT61" s="1433">
        <f>VLOOKUP(F61,$CO$2:$DF$11,18,FALSE)</f>
        <v>0</v>
      </c>
      <c r="CU61" s="1433">
        <f>VLOOKUP(G61,$CO$2:$DF$11,18,FALSE)</f>
        <v>0</v>
      </c>
      <c r="CV61" s="1433">
        <f>VLOOKUP(H61,$CO$2:$DF$11,18,FALSE)</f>
        <v>0</v>
      </c>
      <c r="CW61" s="1433">
        <f>VLOOKUP(I61,$CO$2:$DF$11,18,FALSE)</f>
        <v>0</v>
      </c>
      <c r="CX61" s="1433">
        <f>VLOOKUP(J61,$CO$2:$DF$11,18,FALSE)</f>
        <v>0</v>
      </c>
      <c r="CY61" s="1433">
        <f>VLOOKUP(K61,$CO$2:$DF$11,18,FALSE)</f>
        <v>0</v>
      </c>
      <c r="CZ61" s="1433">
        <f>VLOOKUP(L61,$CO$2:$DF$11,18,FALSE)</f>
        <v>0</v>
      </c>
      <c r="DA61" s="1433">
        <f>VLOOKUP(M61,$CO$2:$DF$11,18,FALSE)</f>
        <v>0</v>
      </c>
      <c r="DB61" s="1433">
        <f>VLOOKUP(N61,$CO$2:$DF$11,18,FALSE)</f>
        <v>0</v>
      </c>
      <c r="DC61" s="1433">
        <f>VLOOKUP(O61,$CO$2:$DF$11,18,FALSE)</f>
        <v>0</v>
      </c>
      <c r="DD61" s="1433">
        <f>VLOOKUP(P61,$CO$2:$DF$11,18,FALSE)</f>
        <v>0</v>
      </c>
      <c r="DE61" s="1432">
        <f>IF(AND(DI61=0,A61=""),AL61,IF(DI61=0,AL61+VLOOKUP(AX61,[10]Critérium!$AC$49:$DE$100,81,FALSE),AL61+VLOOKUP(AX61,[10]Critérium!$B$6:$T$22,19,FALSE)+VLOOKUP(AX61,[10]Critérium!$AC$49:$DE$100,81,FALSE)))</f>
        <v>0</v>
      </c>
      <c r="DF61" s="1431"/>
      <c r="DG61" s="1429">
        <f>IF(AND(DI61=0,A61=""),AM61,IF(DI61=0,AM61+VLOOKUP(AX61,[10]Critérium!$AC$49:$DH$100,84,FALSE),AM61+VLOOKUP(AX61,[10]Critérium!$B$6:$V$22,21,FALSE)+VLOOKUP(AX61,[10]Critérium!$AC$49:$DH$100,84,FALSE)))</f>
        <v>0</v>
      </c>
      <c r="DH61" s="1430">
        <f ca="1">IF(DG61=0,0,(DE61/DG61+RAND()*0.0001))</f>
        <v>0</v>
      </c>
      <c r="DI61" s="1429">
        <f>VLOOKUP(AX61,[10]liste!AN:AR,5,FALSE)</f>
        <v>0</v>
      </c>
      <c r="DJ61" s="1427">
        <f ca="1">DG61+RAND()</f>
        <v>0.84749503423608752</v>
      </c>
      <c r="DK61" s="1427" t="str">
        <f>A61</f>
        <v/>
      </c>
      <c r="DL61" s="1427"/>
      <c r="DM61" s="1428">
        <f>HLOOKUP($DM$1,$C$1:$P$70,61,FALSE)</f>
        <v>0</v>
      </c>
      <c r="DN61" s="1428">
        <f>HLOOKUP($DN$1,$Q$1:$AD$70,61,FALSE)</f>
        <v>0</v>
      </c>
      <c r="DO61" s="1401"/>
      <c r="DP61" s="1401"/>
      <c r="DQ61" s="1401"/>
      <c r="DR61" s="1400">
        <f>IF(SUM(C61:P61)=0,0,(AE61*10/SUM(C61:P61)/2)*AE61/21)</f>
        <v>0</v>
      </c>
      <c r="DS61" s="1427"/>
      <c r="DT61" s="1427"/>
      <c r="DU61" s="1427"/>
      <c r="DV61" s="1427"/>
      <c r="DW61" s="1427"/>
      <c r="DX61" s="1427"/>
      <c r="DY61" s="1427"/>
      <c r="DZ61" s="1427"/>
      <c r="EA61" s="1427"/>
      <c r="EB61" s="1427"/>
      <c r="EC61" s="1427"/>
      <c r="ED61" s="1427"/>
      <c r="EE61" s="1427"/>
      <c r="EF61" s="1427"/>
      <c r="EG61" s="1427"/>
      <c r="EH61" s="1427"/>
      <c r="EI61" s="1427"/>
      <c r="EJ61" s="1427"/>
      <c r="EK61" s="1427"/>
      <c r="EL61" s="1427"/>
      <c r="EM61" s="1427"/>
      <c r="EN61" s="1427"/>
      <c r="EO61" s="1427"/>
      <c r="EP61" s="1427"/>
      <c r="EQ61" s="1427"/>
      <c r="ER61" s="1427"/>
      <c r="ES61" s="1427"/>
      <c r="ET61" s="1427"/>
      <c r="EU61" s="1427"/>
      <c r="EV61" s="1427"/>
      <c r="EW61" s="1427"/>
      <c r="EX61" s="1427"/>
      <c r="EY61" s="1427"/>
      <c r="EZ61" s="1427"/>
      <c r="FA61" s="1427"/>
      <c r="FB61" s="1427"/>
      <c r="FC61" s="1427"/>
      <c r="FD61" s="1427"/>
      <c r="FE61" s="1427"/>
      <c r="FF61" s="1427"/>
      <c r="FG61" s="1427"/>
      <c r="FH61" s="1427"/>
      <c r="FI61" s="1427"/>
      <c r="FJ61" s="1427"/>
      <c r="FK61" s="1427"/>
      <c r="FL61" s="1427"/>
      <c r="FM61" s="1427"/>
      <c r="FN61" s="1427"/>
      <c r="FO61" s="1427"/>
      <c r="FP61" s="1427"/>
      <c r="FQ61" s="1427"/>
    </row>
    <row r="62" spans="1:173" s="1426" customFormat="1" ht="21.95" customHeight="1">
      <c r="A62" s="1443" t="str">
        <f>[10]points!B76</f>
        <v/>
      </c>
      <c r="B62" s="1442" t="str">
        <f>IF(A62="","",VLOOKUP(A62,[10]liste!AN:AQ,4,FALSE))</f>
        <v/>
      </c>
      <c r="C62" s="1441"/>
      <c r="D62" s="1441"/>
      <c r="E62" s="1441"/>
      <c r="F62" s="1441"/>
      <c r="G62" s="1441"/>
      <c r="H62" s="1441"/>
      <c r="I62" s="1441"/>
      <c r="J62" s="1441"/>
      <c r="K62" s="1441"/>
      <c r="L62" s="1441"/>
      <c r="M62" s="1441"/>
      <c r="N62" s="1441"/>
      <c r="O62" s="1441"/>
      <c r="P62" s="1441"/>
      <c r="Q62" s="1441"/>
      <c r="R62" s="1441"/>
      <c r="S62" s="1441"/>
      <c r="T62" s="1441"/>
      <c r="U62" s="1441"/>
      <c r="V62" s="1441"/>
      <c r="W62" s="1441"/>
      <c r="X62" s="1441"/>
      <c r="Y62" s="1441"/>
      <c r="Z62" s="1441"/>
      <c r="AA62" s="1441"/>
      <c r="AB62" s="1441"/>
      <c r="AC62" s="1441"/>
      <c r="AD62" s="1441"/>
      <c r="AE62" s="1440" t="str">
        <f>IF(B62="","",COUNTA(Q62:AD62))</f>
        <v/>
      </c>
      <c r="AF62" s="1439">
        <f>SUM(Q62:W62)</f>
        <v>0</v>
      </c>
      <c r="AG62" s="1439">
        <f>SUM(CQ62:CW62)</f>
        <v>0</v>
      </c>
      <c r="AH62" s="1438" t="str">
        <f>IF(AG62=0,"X",AF62/AG62)</f>
        <v>X</v>
      </c>
      <c r="AI62" s="1439">
        <f>SUM(X62:AD62)</f>
        <v>0</v>
      </c>
      <c r="AJ62" s="1439">
        <f>SUM(CX62:DD62)</f>
        <v>0</v>
      </c>
      <c r="AK62" s="1438" t="str">
        <f>IF(AJ62=0,"X",AI62/AJ62)</f>
        <v>X</v>
      </c>
      <c r="AL62" s="1439">
        <f>SUM(Q62:AD62)</f>
        <v>0</v>
      </c>
      <c r="AM62" s="1439">
        <f>SUM(CQ62:DD62)</f>
        <v>0</v>
      </c>
      <c r="AN62" s="1438" t="str">
        <f>IF(CQ62+CR62+CS62+CT62+CU62+CV62+CW62+CX62+CY62+CZ62+DA62+DB62+DC62+DD62=0,"",MINVERSE(CQ62+CR62+CS62+CT62+CU62+CV62+CW62+CX62+CY62+CZ62+DA62+DB62+DC62+DD62)*AL62)</f>
        <v/>
      </c>
      <c r="AO62" s="1437">
        <f ca="1">IF(B62="",10,B62+RAND()*0.01)</f>
        <v>10</v>
      </c>
      <c r="AP62" s="1437" t="str">
        <f ca="1">IF(AND(C62="",J62=""),"e",IF(J62="",IF($BD$1&lt;=7,C62+RAND()*0.01,"e"),J62+RAND()*0.01))</f>
        <v>e</v>
      </c>
      <c r="AQ62" s="1437" t="str">
        <f ca="1">IF(AND(D62="",K62=""),"e",IF(K62="",IF($BD$1&lt;=7,D62+RAND()*0.01,"e"),K62+RAND()*0.01))</f>
        <v>e</v>
      </c>
      <c r="AR62" s="1437" t="str">
        <f ca="1">IF(AND(E62="",L62=""),"e",IF(L62="",IF($BD$1&lt;=7,E62+RAND()*0.01,"e"),L62+RAND()*0.01))</f>
        <v>e</v>
      </c>
      <c r="AS62" s="1437" t="str">
        <f ca="1">IF(AND(F62="",M62=""),"e",IF(M62="",IF($BD$1&lt;=7,F62+RAND()*0.01,"e"),M62+RAND()*0.01))</f>
        <v>e</v>
      </c>
      <c r="AT62" s="1437" t="str">
        <f ca="1">IF(AND(G62="",N62=""),"e",IF(N62="",IF($BD$1&lt;=7,G62+RAND()*0.01,"e"),N62+RAND()*0.01))</f>
        <v>e</v>
      </c>
      <c r="AU62" s="1437" t="str">
        <f ca="1">IF(AND(H62="",O62=""),"e",IF(O62="",IF($BD$1&lt;=7,H62+RAND()*0.01,"e"),O62+RAND()*0.01))</f>
        <v>e</v>
      </c>
      <c r="AV62" s="1437" t="str">
        <f ca="1">IF(AND(I62="",P62=""),"e",IF(P62="",IF($BD$1&lt;=7,I62+RAND()*0.01,"e"),P62+RAND()*0.01))</f>
        <v>e</v>
      </c>
      <c r="AW62" s="1437"/>
      <c r="AX62" s="1436" t="str">
        <f>A62</f>
        <v/>
      </c>
      <c r="AY62" s="1580" t="str">
        <f>IF(OR($H$2&gt;0,$H$3&gt;0,$H$4&gt;0,$H$5&gt;0,$H$6&gt;0,$H$7&gt;0,$H$8&gt;0,$H$2&gt;0),"",IF(COUNTIF(C62:H62,"")&gt;=5,"",IF(COUNTIF(C62:H62,SMALL(C62:H62,1))&gt;=2,SMALL(C62:H62,1),SMALL(C62:H62,2))))</f>
        <v/>
      </c>
      <c r="AZ62" s="1581" t="str">
        <f>IF(COUNTIF(J62:O62,"")&gt;=5,"",IF(COUNTIF(J62:O62,SMALL(J62:O62,1))&gt;=2,SMALL(J62:O62,1),SMALL(J62:O62,2)))</f>
        <v/>
      </c>
      <c r="BA62" s="1401"/>
      <c r="BB62" s="1401"/>
      <c r="BC62" s="1401"/>
      <c r="BD62" s="1435"/>
      <c r="BE62" s="1401"/>
      <c r="BF62" s="1401"/>
      <c r="BG62" s="1401"/>
      <c r="BH62" s="1444"/>
      <c r="BI62" s="1401"/>
      <c r="BJ62" s="1401"/>
      <c r="BK62" s="1401"/>
      <c r="BL62" s="1401"/>
      <c r="BM62" s="1401"/>
      <c r="BN62" s="1435"/>
      <c r="BO62" s="1401"/>
      <c r="BP62" s="1401"/>
      <c r="BQ62" s="1401"/>
      <c r="BR62" s="1401"/>
      <c r="BS62" s="1401"/>
      <c r="BT62" s="1401"/>
      <c r="BU62" s="1434"/>
      <c r="BV62" s="1401"/>
      <c r="BW62" s="1401"/>
      <c r="BX62" s="1401"/>
      <c r="BY62" s="561">
        <f ca="1">IF($BD$1&lt;=7,COUNTIF($C62:$I62,"1")+RAND()*0.0001,COUNTIF($J62:$P62,"1")+RAND()*0.0001)</f>
        <v>5.3785847756189224E-5</v>
      </c>
      <c r="BZ62" s="561" t="str">
        <f ca="1">IF(BY62&lt;1,"",AX62)</f>
        <v/>
      </c>
      <c r="CA62" s="561">
        <f ca="1">IF($BD$1&lt;=7,COUNTIF($C62:$I62,"2")+RAND()*0.0001,COUNTIF($J62:$P62,"2")+RAND()*0.0001)</f>
        <v>8.8720694705163307E-7</v>
      </c>
      <c r="CB62" s="561" t="str">
        <f ca="1">IF(CA62&lt;1,"",AX62)</f>
        <v/>
      </c>
      <c r="CC62" s="561">
        <f ca="1">IF($BD$1&lt;=7,COUNTIF($C62:$I62,"3")+RAND()*0.0001,COUNTIF($J62:$P62,"3")+RAND()*0.0001)</f>
        <v>9.0872338293036508E-5</v>
      </c>
      <c r="CD62" s="561" t="str">
        <f ca="1">IF(CC62&lt;1,"",AX62)</f>
        <v/>
      </c>
      <c r="CE62" s="561">
        <f ca="1">IF($BD$1&lt;=7,COUNTIF($C62:$I62,"4")+RAND()*0.0001,COUNTIF($J62:$P62,"4")+RAND()*0.0001)</f>
        <v>8.4528314826207694E-5</v>
      </c>
      <c r="CF62" s="561" t="str">
        <f ca="1">IF(CE62&lt;1,"",AX62)</f>
        <v/>
      </c>
      <c r="CG62" s="561">
        <f ca="1">IF($BD$1&lt;=7,COUNTIF($C62:$I62,"5")+RAND()*0.0001,COUNTIF($J62:$P62,"5")+RAND()*0.0001)</f>
        <v>4.3435006340907278E-5</v>
      </c>
      <c r="CH62" s="561" t="str">
        <f ca="1">IF(CG62&lt;1,"",AX62)</f>
        <v/>
      </c>
      <c r="CI62" s="561">
        <f ca="1">IF($BD$1&lt;=7,COUNTIF($C62:$I62,"6")+RAND()*0.0001,COUNTIF($J62:$P62,"6")+RAND()*0.0001)</f>
        <v>9.1969070197280931E-5</v>
      </c>
      <c r="CJ62" s="561" t="str">
        <f ca="1">IF(CI62&lt;1,"",AX62)</f>
        <v/>
      </c>
      <c r="CK62" s="561">
        <f ca="1">IF($BD$1&lt;=7,COUNTIF($C62:$I62,"7")+RAND()*0.0001,COUNTIF($J62:$P62,"7")+RAND()*0.0001)</f>
        <v>2.5858075197397746E-5</v>
      </c>
      <c r="CL62" s="561" t="str">
        <f ca="1">IF(CK62&lt;1,"",AX62)</f>
        <v/>
      </c>
      <c r="CM62" s="561">
        <f ca="1">IF($BD$1&lt;=7,COUNTIF($C62:$I62,"8")+RAND()*0.0001,COUNTIF($J62:$P62,"8")+RAND()*0.0001)</f>
        <v>3.9276426714680471E-5</v>
      </c>
      <c r="CN62" s="561" t="str">
        <f ca="1">IF(CM62&lt;1,"",AX62)</f>
        <v/>
      </c>
      <c r="CO62" s="1401"/>
      <c r="CP62" s="1401" t="e">
        <f ca="1">AE62+RAND()*0.01</f>
        <v>#VALUE!</v>
      </c>
      <c r="CQ62" s="1433">
        <f>VLOOKUP(C62,$CO$2:$DF$11,18,FALSE)</f>
        <v>0</v>
      </c>
      <c r="CR62" s="1433">
        <f>VLOOKUP(D62,$CO$2:$DF$11,18,FALSE)</f>
        <v>0</v>
      </c>
      <c r="CS62" s="1433">
        <f>VLOOKUP(E62,$CO$2:$DF$11,18,FALSE)</f>
        <v>0</v>
      </c>
      <c r="CT62" s="1433">
        <f>VLOOKUP(F62,$CO$2:$DF$11,18,FALSE)</f>
        <v>0</v>
      </c>
      <c r="CU62" s="1433">
        <f>VLOOKUP(G62,$CO$2:$DF$11,18,FALSE)</f>
        <v>0</v>
      </c>
      <c r="CV62" s="1433">
        <f>VLOOKUP(H62,$CO$2:$DF$11,18,FALSE)</f>
        <v>0</v>
      </c>
      <c r="CW62" s="1433">
        <f>VLOOKUP(I62,$CO$2:$DF$11,18,FALSE)</f>
        <v>0</v>
      </c>
      <c r="CX62" s="1433">
        <f>VLOOKUP(J62,$CO$2:$DF$11,18,FALSE)</f>
        <v>0</v>
      </c>
      <c r="CY62" s="1433">
        <f>VLOOKUP(K62,$CO$2:$DF$11,18,FALSE)</f>
        <v>0</v>
      </c>
      <c r="CZ62" s="1433">
        <f>VLOOKUP(L62,$CO$2:$DF$11,18,FALSE)</f>
        <v>0</v>
      </c>
      <c r="DA62" s="1433">
        <f>VLOOKUP(M62,$CO$2:$DF$11,18,FALSE)</f>
        <v>0</v>
      </c>
      <c r="DB62" s="1433">
        <f>VLOOKUP(N62,$CO$2:$DF$11,18,FALSE)</f>
        <v>0</v>
      </c>
      <c r="DC62" s="1433">
        <f>VLOOKUP(O62,$CO$2:$DF$11,18,FALSE)</f>
        <v>0</v>
      </c>
      <c r="DD62" s="1433">
        <f>VLOOKUP(P62,$CO$2:$DF$11,18,FALSE)</f>
        <v>0</v>
      </c>
      <c r="DE62" s="1432">
        <f>IF(AND(DI62=0,A62=""),AL62,IF(DI62=0,AL62+VLOOKUP(AX62,[10]Critérium!$AC$49:$DE$100,81,FALSE),AL62+VLOOKUP(AX62,[10]Critérium!$B$6:$T$22,19,FALSE)+VLOOKUP(AX62,[10]Critérium!$AC$49:$DE$100,81,FALSE)))</f>
        <v>0</v>
      </c>
      <c r="DF62" s="1431"/>
      <c r="DG62" s="1429">
        <f>IF(AND(DI62=0,A62=""),AM62,IF(DI62=0,AM62+VLOOKUP(AX62,[10]Critérium!$AC$49:$DH$100,84,FALSE),AM62+VLOOKUP(AX62,[10]Critérium!$B$6:$V$22,21,FALSE)+VLOOKUP(AX62,[10]Critérium!$AC$49:$DH$100,84,FALSE)))</f>
        <v>0</v>
      </c>
      <c r="DH62" s="1430">
        <f ca="1">IF(DG62=0,0,(DE62/DG62+RAND()*0.0001))</f>
        <v>0</v>
      </c>
      <c r="DI62" s="1429">
        <f>VLOOKUP(AX62,[10]liste!AN:AR,5,FALSE)</f>
        <v>0</v>
      </c>
      <c r="DJ62" s="1427">
        <f ca="1">DG62+RAND()</f>
        <v>0.21896027650129979</v>
      </c>
      <c r="DK62" s="1427" t="str">
        <f>A62</f>
        <v/>
      </c>
      <c r="DL62" s="1427"/>
      <c r="DM62" s="1428">
        <f>HLOOKUP($DM$1,$C$1:$P$70,62,FALSE)</f>
        <v>0</v>
      </c>
      <c r="DN62" s="1428">
        <f>HLOOKUP($DN$1,$Q$1:$AD$70,62,FALSE)</f>
        <v>0</v>
      </c>
      <c r="DO62" s="1401"/>
      <c r="DP62" s="1401"/>
      <c r="DQ62" s="1401"/>
      <c r="DR62" s="1400">
        <f>IF(SUM(C62:P62)=0,0,(AE62*10/SUM(C62:P62)/2)*AE62/21)</f>
        <v>0</v>
      </c>
      <c r="DS62" s="1427"/>
      <c r="DT62" s="1427"/>
      <c r="DU62" s="1427"/>
      <c r="DV62" s="1427"/>
      <c r="DW62" s="1427"/>
      <c r="DX62" s="1427"/>
      <c r="DY62" s="1427"/>
      <c r="DZ62" s="1427"/>
      <c r="EA62" s="1427"/>
      <c r="EB62" s="1427"/>
      <c r="EC62" s="1427"/>
      <c r="ED62" s="1427"/>
      <c r="EE62" s="1427"/>
      <c r="EF62" s="1427"/>
      <c r="EG62" s="1427"/>
      <c r="EH62" s="1427"/>
      <c r="EI62" s="1427"/>
      <c r="EJ62" s="1427"/>
      <c r="EK62" s="1427"/>
      <c r="EL62" s="1427"/>
      <c r="EM62" s="1427"/>
      <c r="EN62" s="1427"/>
      <c r="EO62" s="1427"/>
      <c r="EP62" s="1427"/>
      <c r="EQ62" s="1427"/>
      <c r="ER62" s="1427"/>
      <c r="ES62" s="1427"/>
      <c r="ET62" s="1427"/>
      <c r="EU62" s="1427"/>
      <c r="EV62" s="1427"/>
      <c r="EW62" s="1427"/>
      <c r="EX62" s="1427"/>
      <c r="EY62" s="1427"/>
      <c r="EZ62" s="1427"/>
      <c r="FA62" s="1427"/>
      <c r="FB62" s="1427"/>
      <c r="FC62" s="1427"/>
      <c r="FD62" s="1427"/>
      <c r="FE62" s="1427"/>
      <c r="FF62" s="1427"/>
      <c r="FG62" s="1427"/>
      <c r="FH62" s="1427"/>
      <c r="FI62" s="1427"/>
      <c r="FJ62" s="1427"/>
      <c r="FK62" s="1427"/>
      <c r="FL62" s="1427"/>
      <c r="FM62" s="1427"/>
      <c r="FN62" s="1427"/>
      <c r="FO62" s="1427"/>
      <c r="FP62" s="1427"/>
      <c r="FQ62" s="1427"/>
    </row>
    <row r="63" spans="1:173" s="1426" customFormat="1" ht="21.95" customHeight="1">
      <c r="A63" s="1443" t="str">
        <f>[10]points!B77</f>
        <v/>
      </c>
      <c r="B63" s="1442" t="str">
        <f>IF(A63="","",VLOOKUP(A63,[10]liste!AN:AQ,4,FALSE))</f>
        <v/>
      </c>
      <c r="C63" s="1441"/>
      <c r="D63" s="1441"/>
      <c r="E63" s="1441"/>
      <c r="F63" s="1441"/>
      <c r="G63" s="1441"/>
      <c r="H63" s="1441"/>
      <c r="I63" s="1441"/>
      <c r="J63" s="1441"/>
      <c r="K63" s="1441"/>
      <c r="L63" s="1441"/>
      <c r="M63" s="1441"/>
      <c r="N63" s="1441"/>
      <c r="O63" s="1441"/>
      <c r="P63" s="1441"/>
      <c r="Q63" s="1441"/>
      <c r="R63" s="1441"/>
      <c r="S63" s="1441"/>
      <c r="T63" s="1441"/>
      <c r="U63" s="1441"/>
      <c r="V63" s="1441"/>
      <c r="W63" s="1441"/>
      <c r="X63" s="1441"/>
      <c r="Y63" s="1441"/>
      <c r="Z63" s="1441"/>
      <c r="AA63" s="1441"/>
      <c r="AB63" s="1441"/>
      <c r="AC63" s="1441"/>
      <c r="AD63" s="1441"/>
      <c r="AE63" s="1440" t="str">
        <f>IF(B63="","",COUNTA(Q63:AD63))</f>
        <v/>
      </c>
      <c r="AF63" s="1439">
        <f>SUM(Q63:W63)</f>
        <v>0</v>
      </c>
      <c r="AG63" s="1439">
        <f>SUM(CQ63:CW63)</f>
        <v>0</v>
      </c>
      <c r="AH63" s="1438" t="str">
        <f>IF(AG63=0,"X",AF63/AG63)</f>
        <v>X</v>
      </c>
      <c r="AI63" s="1439">
        <f>SUM(X63:AD63)</f>
        <v>0</v>
      </c>
      <c r="AJ63" s="1439">
        <f>SUM(CX63:DD63)</f>
        <v>0</v>
      </c>
      <c r="AK63" s="1438" t="str">
        <f>IF(AJ63=0,"X",AI63/AJ63)</f>
        <v>X</v>
      </c>
      <c r="AL63" s="1439">
        <f>SUM(Q63:AD63)</f>
        <v>0</v>
      </c>
      <c r="AM63" s="1439">
        <f>SUM(CQ63:DD63)</f>
        <v>0</v>
      </c>
      <c r="AN63" s="1438" t="str">
        <f>IF(CQ63+CR63+CS63+CT63+CU63+CV63+CW63+CX63+CY63+CZ63+DA63+DB63+DC63+DD63=0,"",MINVERSE(CQ63+CR63+CS63+CT63+CU63+CV63+CW63+CX63+CY63+CZ63+DA63+DB63+DC63+DD63)*AL63)</f>
        <v/>
      </c>
      <c r="AO63" s="1437">
        <f ca="1">IF(B63="",10,B63+RAND()*0.01)</f>
        <v>10</v>
      </c>
      <c r="AP63" s="1437" t="str">
        <f ca="1">IF(AND(C63="",J63=""),"e",IF(J63="",IF($BD$1&lt;=7,C63+RAND()*0.01,"e"),J63+RAND()*0.01))</f>
        <v>e</v>
      </c>
      <c r="AQ63" s="1437" t="str">
        <f ca="1">IF(AND(D63="",K63=""),"e",IF(K63="",IF($BD$1&lt;=7,D63+RAND()*0.01,"e"),K63+RAND()*0.01))</f>
        <v>e</v>
      </c>
      <c r="AR63" s="1437" t="str">
        <f ca="1">IF(AND(E63="",L63=""),"e",IF(L63="",IF($BD$1&lt;=7,E63+RAND()*0.01,"e"),L63+RAND()*0.01))</f>
        <v>e</v>
      </c>
      <c r="AS63" s="1437" t="str">
        <f ca="1">IF(AND(F63="",M63=""),"e",IF(M63="",IF($BD$1&lt;=7,F63+RAND()*0.01,"e"),M63+RAND()*0.01))</f>
        <v>e</v>
      </c>
      <c r="AT63" s="1437" t="str">
        <f ca="1">IF(AND(G63="",N63=""),"e",IF(N63="",IF($BD$1&lt;=7,G63+RAND()*0.01,"e"),N63+RAND()*0.01))</f>
        <v>e</v>
      </c>
      <c r="AU63" s="1437" t="str">
        <f ca="1">IF(AND(H63="",O63=""),"e",IF(O63="",IF($BD$1&lt;=7,H63+RAND()*0.01,"e"),O63+RAND()*0.01))</f>
        <v>e</v>
      </c>
      <c r="AV63" s="1437" t="str">
        <f ca="1">IF(AND(I63="",P63=""),"e",IF(P63="",IF($BD$1&lt;=7,I63+RAND()*0.01,"e"),P63+RAND()*0.01))</f>
        <v>e</v>
      </c>
      <c r="AW63" s="1437"/>
      <c r="AX63" s="1436" t="str">
        <f>A63</f>
        <v/>
      </c>
      <c r="AY63" s="1580" t="str">
        <f>IF(OR($H$2&gt;0,$H$3&gt;0,$H$4&gt;0,$H$5&gt;0,$H$6&gt;0,$H$7&gt;0,$H$8&gt;0,$H$2&gt;0),"",IF(COUNTIF(C63:H63,"")&gt;=5,"",IF(COUNTIF(C63:H63,SMALL(C63:H63,1))&gt;=2,SMALL(C63:H63,1),SMALL(C63:H63,2))))</f>
        <v/>
      </c>
      <c r="AZ63" s="1581" t="str">
        <f>IF(COUNTIF(J63:O63,"")&gt;=5,"",IF(COUNTIF(J63:O63,SMALL(J63:O63,1))&gt;=2,SMALL(J63:O63,1),SMALL(J63:O63,2)))</f>
        <v/>
      </c>
      <c r="BA63" s="1401"/>
      <c r="BB63" s="1401"/>
      <c r="BC63" s="1401"/>
      <c r="BD63" s="1435"/>
      <c r="BE63" s="1401"/>
      <c r="BF63" s="1401"/>
      <c r="BG63" s="1401"/>
      <c r="BH63" s="1444"/>
      <c r="BI63" s="1401"/>
      <c r="BJ63" s="1401"/>
      <c r="BK63" s="1401"/>
      <c r="BL63" s="1401"/>
      <c r="BM63" s="1401"/>
      <c r="BN63" s="1435"/>
      <c r="BO63" s="1401"/>
      <c r="BP63" s="1401"/>
      <c r="BQ63" s="1401"/>
      <c r="BR63" s="1401"/>
      <c r="BS63" s="1401"/>
      <c r="BT63" s="1401"/>
      <c r="BU63" s="1434"/>
      <c r="BV63" s="1401"/>
      <c r="BW63" s="1401"/>
      <c r="BX63" s="1401"/>
      <c r="BY63" s="561">
        <f ca="1">IF($BD$1&lt;=7,COUNTIF($C63:$I63,"1")+RAND()*0.0001,COUNTIF($J63:$P63,"1")+RAND()*0.0001)</f>
        <v>3.9948518040524809E-5</v>
      </c>
      <c r="BZ63" s="561" t="str">
        <f ca="1">IF(BY63&lt;1,"",AX63)</f>
        <v/>
      </c>
      <c r="CA63" s="561">
        <f ca="1">IF($BD$1&lt;=7,COUNTIF($C63:$I63,"2")+RAND()*0.0001,COUNTIF($J63:$P63,"2")+RAND()*0.0001)</f>
        <v>2.9290045489708408E-5</v>
      </c>
      <c r="CB63" s="561" t="str">
        <f ca="1">IF(CA63&lt;1,"",AX63)</f>
        <v/>
      </c>
      <c r="CC63" s="561">
        <f ca="1">IF($BD$1&lt;=7,COUNTIF($C63:$I63,"3")+RAND()*0.0001,COUNTIF($J63:$P63,"3")+RAND()*0.0001)</f>
        <v>8.6568259471854744E-5</v>
      </c>
      <c r="CD63" s="561" t="str">
        <f ca="1">IF(CC63&lt;1,"",AX63)</f>
        <v/>
      </c>
      <c r="CE63" s="561">
        <f ca="1">IF($BD$1&lt;=7,COUNTIF($C63:$I63,"4")+RAND()*0.0001,COUNTIF($J63:$P63,"4")+RAND()*0.0001)</f>
        <v>2.2833629944020663E-5</v>
      </c>
      <c r="CF63" s="561" t="str">
        <f ca="1">IF(CE63&lt;1,"",AX63)</f>
        <v/>
      </c>
      <c r="CG63" s="561">
        <f ca="1">IF($BD$1&lt;=7,COUNTIF($C63:$I63,"5")+RAND()*0.0001,COUNTIF($J63:$P63,"5")+RAND()*0.0001)</f>
        <v>1.6949183419057411E-5</v>
      </c>
      <c r="CH63" s="561" t="str">
        <f ca="1">IF(CG63&lt;1,"",AX63)</f>
        <v/>
      </c>
      <c r="CI63" s="561">
        <f ca="1">IF($BD$1&lt;=7,COUNTIF($C63:$I63,"6")+RAND()*0.0001,COUNTIF($J63:$P63,"6")+RAND()*0.0001)</f>
        <v>8.4912643763870556E-5</v>
      </c>
      <c r="CJ63" s="561" t="str">
        <f ca="1">IF(CI63&lt;1,"",AX63)</f>
        <v/>
      </c>
      <c r="CK63" s="561">
        <f ca="1">IF($BD$1&lt;=7,COUNTIF($C63:$I63,"7")+RAND()*0.0001,COUNTIF($J63:$P63,"7")+RAND()*0.0001)</f>
        <v>9.68170035247082E-5</v>
      </c>
      <c r="CL63" s="561" t="str">
        <f ca="1">IF(CK63&lt;1,"",AX63)</f>
        <v/>
      </c>
      <c r="CM63" s="561">
        <f ca="1">IF($BD$1&lt;=7,COUNTIF($C63:$I63,"8")+RAND()*0.0001,COUNTIF($J63:$P63,"8")+RAND()*0.0001)</f>
        <v>1.5879222470395562E-5</v>
      </c>
      <c r="CN63" s="561" t="str">
        <f ca="1">IF(CM63&lt;1,"",AX63)</f>
        <v/>
      </c>
      <c r="CO63" s="1401"/>
      <c r="CP63" s="1401" t="e">
        <f ca="1">AE63+RAND()*0.01</f>
        <v>#VALUE!</v>
      </c>
      <c r="CQ63" s="1433">
        <f>VLOOKUP(C63,$CO$2:$DF$11,18,FALSE)</f>
        <v>0</v>
      </c>
      <c r="CR63" s="1433">
        <f>VLOOKUP(D63,$CO$2:$DF$11,18,FALSE)</f>
        <v>0</v>
      </c>
      <c r="CS63" s="1433">
        <f>VLOOKUP(E63,$CO$2:$DF$11,18,FALSE)</f>
        <v>0</v>
      </c>
      <c r="CT63" s="1433">
        <f>VLOOKUP(F63,$CO$2:$DF$11,18,FALSE)</f>
        <v>0</v>
      </c>
      <c r="CU63" s="1433">
        <f>VLOOKUP(G63,$CO$2:$DF$11,18,FALSE)</f>
        <v>0</v>
      </c>
      <c r="CV63" s="1433">
        <f>VLOOKUP(H63,$CO$2:$DF$11,18,FALSE)</f>
        <v>0</v>
      </c>
      <c r="CW63" s="1433">
        <f>VLOOKUP(I63,$CO$2:$DF$11,18,FALSE)</f>
        <v>0</v>
      </c>
      <c r="CX63" s="1433">
        <f>VLOOKUP(J63,$CO$2:$DF$11,18,FALSE)</f>
        <v>0</v>
      </c>
      <c r="CY63" s="1433">
        <f>VLOOKUP(K63,$CO$2:$DF$11,18,FALSE)</f>
        <v>0</v>
      </c>
      <c r="CZ63" s="1433">
        <f>VLOOKUP(L63,$CO$2:$DF$11,18,FALSE)</f>
        <v>0</v>
      </c>
      <c r="DA63" s="1433">
        <f>VLOOKUP(M63,$CO$2:$DF$11,18,FALSE)</f>
        <v>0</v>
      </c>
      <c r="DB63" s="1433">
        <f>VLOOKUP(N63,$CO$2:$DF$11,18,FALSE)</f>
        <v>0</v>
      </c>
      <c r="DC63" s="1433">
        <f>VLOOKUP(O63,$CO$2:$DF$11,18,FALSE)</f>
        <v>0</v>
      </c>
      <c r="DD63" s="1433">
        <f>VLOOKUP(P63,$CO$2:$DF$11,18,FALSE)</f>
        <v>0</v>
      </c>
      <c r="DE63" s="1432">
        <f>IF(AND(DI63=0,A63=""),AL63,IF(DI63=0,AL63+VLOOKUP(AX63,[10]Critérium!$AC$49:$DE$100,81,FALSE),AL63+VLOOKUP(AX63,[10]Critérium!$B$6:$T$22,19,FALSE)+VLOOKUP(AX63,[10]Critérium!$AC$49:$DE$100,81,FALSE)))</f>
        <v>0</v>
      </c>
      <c r="DF63" s="1431"/>
      <c r="DG63" s="1429">
        <f>IF(AND(DI63=0,A63=""),AM63,IF(DI63=0,AM63+VLOOKUP(AX63,[10]Critérium!$AC$49:$DH$100,84,FALSE),AM63+VLOOKUP(AX63,[10]Critérium!$B$6:$V$22,21,FALSE)+VLOOKUP(AX63,[10]Critérium!$AC$49:$DH$100,84,FALSE)))</f>
        <v>0</v>
      </c>
      <c r="DH63" s="1430">
        <f ca="1">IF(DG63=0,0,(DE63/DG63+RAND()*0.0001))</f>
        <v>0</v>
      </c>
      <c r="DI63" s="1429">
        <f>VLOOKUP(AX63,[10]liste!AN:AR,5,FALSE)</f>
        <v>0</v>
      </c>
      <c r="DJ63" s="1427">
        <f ca="1">DG63+RAND()</f>
        <v>0.51703047523524837</v>
      </c>
      <c r="DK63" s="1427" t="str">
        <f>A63</f>
        <v/>
      </c>
      <c r="DL63" s="1427"/>
      <c r="DM63" s="1428">
        <f>HLOOKUP($DM$1,$C$1:$P$70,63,FALSE)</f>
        <v>0</v>
      </c>
      <c r="DN63" s="1428">
        <f>HLOOKUP($DN$1,$Q$1:$AD$70,63,FALSE)</f>
        <v>0</v>
      </c>
      <c r="DO63" s="1401"/>
      <c r="DP63" s="1401"/>
      <c r="DQ63" s="1401"/>
      <c r="DR63" s="1400">
        <f>IF(SUM(C63:P63)=0,0,(AE63*10/SUM(C63:P63)/2)*AE63/21)</f>
        <v>0</v>
      </c>
      <c r="DS63" s="1427"/>
      <c r="DT63" s="1427"/>
      <c r="DU63" s="1427"/>
      <c r="DV63" s="1427"/>
      <c r="DW63" s="1427"/>
      <c r="DX63" s="1427"/>
      <c r="DY63" s="1427"/>
      <c r="DZ63" s="1427"/>
      <c r="EA63" s="1427"/>
      <c r="EB63" s="1427"/>
      <c r="EC63" s="1427"/>
      <c r="ED63" s="1427"/>
      <c r="EE63" s="1427"/>
      <c r="EF63" s="1427"/>
      <c r="EG63" s="1427"/>
      <c r="EH63" s="1427"/>
      <c r="EI63" s="1427"/>
      <c r="EJ63" s="1427"/>
      <c r="EK63" s="1427"/>
      <c r="EL63" s="1427"/>
      <c r="EM63" s="1427"/>
      <c r="EN63" s="1427"/>
      <c r="EO63" s="1427"/>
      <c r="EP63" s="1427"/>
      <c r="EQ63" s="1427"/>
      <c r="ER63" s="1427"/>
      <c r="ES63" s="1427"/>
      <c r="ET63" s="1427"/>
      <c r="EU63" s="1427"/>
      <c r="EV63" s="1427"/>
      <c r="EW63" s="1427"/>
      <c r="EX63" s="1427"/>
      <c r="EY63" s="1427"/>
      <c r="EZ63" s="1427"/>
      <c r="FA63" s="1427"/>
      <c r="FB63" s="1427"/>
      <c r="FC63" s="1427"/>
      <c r="FD63" s="1427"/>
      <c r="FE63" s="1427"/>
      <c r="FF63" s="1427"/>
      <c r="FG63" s="1427"/>
      <c r="FH63" s="1427"/>
      <c r="FI63" s="1427"/>
      <c r="FJ63" s="1427"/>
      <c r="FK63" s="1427"/>
      <c r="FL63" s="1427"/>
      <c r="FM63" s="1427"/>
      <c r="FN63" s="1427"/>
      <c r="FO63" s="1427"/>
      <c r="FP63" s="1427"/>
      <c r="FQ63" s="1427"/>
    </row>
    <row r="64" spans="1:173" s="1426" customFormat="1" ht="21.95" customHeight="1">
      <c r="A64" s="1443" t="str">
        <f>[10]points!B78</f>
        <v/>
      </c>
      <c r="B64" s="1442" t="str">
        <f>IF(A64="","",VLOOKUP(A64,[10]liste!AN:AQ,4,FALSE))</f>
        <v/>
      </c>
      <c r="C64" s="1441"/>
      <c r="D64" s="1441"/>
      <c r="E64" s="1441"/>
      <c r="F64" s="1441"/>
      <c r="G64" s="1441"/>
      <c r="H64" s="1441"/>
      <c r="I64" s="1441"/>
      <c r="J64" s="1441"/>
      <c r="K64" s="1441"/>
      <c r="L64" s="1441"/>
      <c r="M64" s="1441"/>
      <c r="N64" s="1441"/>
      <c r="O64" s="1441"/>
      <c r="P64" s="1441"/>
      <c r="Q64" s="1441"/>
      <c r="R64" s="1441"/>
      <c r="S64" s="1441"/>
      <c r="T64" s="1441"/>
      <c r="U64" s="1441"/>
      <c r="V64" s="1441"/>
      <c r="W64" s="1441"/>
      <c r="X64" s="1441"/>
      <c r="Y64" s="1441"/>
      <c r="Z64" s="1441"/>
      <c r="AA64" s="1441"/>
      <c r="AB64" s="1441"/>
      <c r="AC64" s="1441"/>
      <c r="AD64" s="1441"/>
      <c r="AE64" s="1440" t="str">
        <f>IF(B64="","",COUNTA(Q64:AD64))</f>
        <v/>
      </c>
      <c r="AF64" s="1439">
        <f>SUM(Q64:W64)</f>
        <v>0</v>
      </c>
      <c r="AG64" s="1439">
        <f>SUM(CQ64:CW64)</f>
        <v>0</v>
      </c>
      <c r="AH64" s="1438" t="str">
        <f>IF(AG64=0,"X",AF64/AG64)</f>
        <v>X</v>
      </c>
      <c r="AI64" s="1439">
        <f>SUM(X64:AD64)</f>
        <v>0</v>
      </c>
      <c r="AJ64" s="1439">
        <f>SUM(CX64:DD64)</f>
        <v>0</v>
      </c>
      <c r="AK64" s="1438" t="str">
        <f>IF(AJ64=0,"X",AI64/AJ64)</f>
        <v>X</v>
      </c>
      <c r="AL64" s="1439">
        <f>SUM(Q64:AD64)</f>
        <v>0</v>
      </c>
      <c r="AM64" s="1439">
        <f>SUM(CQ64:DD64)</f>
        <v>0</v>
      </c>
      <c r="AN64" s="1438" t="str">
        <f>IF(CQ64+CR64+CS64+CT64+CU64+CV64+CW64+CX64+CY64+CZ64+DA64+DB64+DC64+DD64=0,"",MINVERSE(CQ64+CR64+CS64+CT64+CU64+CV64+CW64+CX64+CY64+CZ64+DA64+DB64+DC64+DD64)*AL64)</f>
        <v/>
      </c>
      <c r="AO64" s="1437">
        <f ca="1">IF(B64="",10,B64+RAND()*0.01)</f>
        <v>10</v>
      </c>
      <c r="AP64" s="1437" t="str">
        <f ca="1">IF(AND(C64="",J64=""),"e",IF(J64="",IF($BD$1&lt;=7,C64+RAND()*0.01,"e"),J64+RAND()*0.01))</f>
        <v>e</v>
      </c>
      <c r="AQ64" s="1437" t="str">
        <f ca="1">IF(AND(D64="",K64=""),"e",IF(K64="",IF($BD$1&lt;=7,D64+RAND()*0.01,"e"),K64+RAND()*0.01))</f>
        <v>e</v>
      </c>
      <c r="AR64" s="1437" t="str">
        <f ca="1">IF(AND(E64="",L64=""),"e",IF(L64="",IF($BD$1&lt;=7,E64+RAND()*0.01,"e"),L64+RAND()*0.01))</f>
        <v>e</v>
      </c>
      <c r="AS64" s="1437" t="str">
        <f ca="1">IF(AND(F64="",M64=""),"e",IF(M64="",IF($BD$1&lt;=7,F64+RAND()*0.01,"e"),M64+RAND()*0.01))</f>
        <v>e</v>
      </c>
      <c r="AT64" s="1437" t="str">
        <f ca="1">IF(AND(G64="",N64=""),"e",IF(N64="",IF($BD$1&lt;=7,G64+RAND()*0.01,"e"),N64+RAND()*0.01))</f>
        <v>e</v>
      </c>
      <c r="AU64" s="1437" t="str">
        <f ca="1">IF(AND(H64="",O64=""),"e",IF(O64="",IF($BD$1&lt;=7,H64+RAND()*0.01,"e"),O64+RAND()*0.01))</f>
        <v>e</v>
      </c>
      <c r="AV64" s="1437" t="str">
        <f ca="1">IF(AND(I64="",P64=""),"e",IF(P64="",IF($BD$1&lt;=7,I64+RAND()*0.01,"e"),P64+RAND()*0.01))</f>
        <v>e</v>
      </c>
      <c r="AW64" s="1437"/>
      <c r="AX64" s="1436" t="str">
        <f>A64</f>
        <v/>
      </c>
      <c r="AY64" s="1580" t="str">
        <f>IF(OR($H$2&gt;0,$H$3&gt;0,$H$4&gt;0,$H$5&gt;0,$H$6&gt;0,$H$7&gt;0,$H$8&gt;0,$H$2&gt;0),"",IF(COUNTIF(C64:H64,"")&gt;=5,"",IF(COUNTIF(C64:H64,SMALL(C64:H64,1))&gt;=2,SMALL(C64:H64,1),SMALL(C64:H64,2))))</f>
        <v/>
      </c>
      <c r="AZ64" s="1581" t="str">
        <f>IF(COUNTIF(J64:O64,"")&gt;=5,"",IF(COUNTIF(J64:O64,SMALL(J64:O64,1))&gt;=2,SMALL(J64:O64,1),SMALL(J64:O64,2)))</f>
        <v/>
      </c>
      <c r="BA64" s="1401"/>
      <c r="BB64" s="1401"/>
      <c r="BC64" s="1401"/>
      <c r="BD64" s="1435"/>
      <c r="BE64" s="1401"/>
      <c r="BF64" s="1401"/>
      <c r="BG64" s="1401"/>
      <c r="BH64" s="1401"/>
      <c r="BI64" s="1401"/>
      <c r="BJ64" s="1401"/>
      <c r="BK64" s="1401"/>
      <c r="BL64" s="1401"/>
      <c r="BM64" s="1401"/>
      <c r="BN64" s="1435"/>
      <c r="BO64" s="1401"/>
      <c r="BP64" s="1401"/>
      <c r="BQ64" s="1401"/>
      <c r="BR64" s="1401"/>
      <c r="BS64" s="1401"/>
      <c r="BT64" s="1401"/>
      <c r="BU64" s="1434"/>
      <c r="BV64" s="1401"/>
      <c r="BW64" s="1401"/>
      <c r="BX64" s="1401"/>
      <c r="BY64" s="561">
        <f ca="1">IF($BD$1&lt;=7,COUNTIF($C64:$I64,"1")+RAND()*0.0001,COUNTIF($J64:$P64,"1")+RAND()*0.0001)</f>
        <v>3.9535762146504504E-5</v>
      </c>
      <c r="BZ64" s="561" t="str">
        <f ca="1">IF(BY64&lt;1,"",AX64)</f>
        <v/>
      </c>
      <c r="CA64" s="561">
        <f ca="1">IF($BD$1&lt;=7,COUNTIF($C64:$I64,"2")+RAND()*0.0001,COUNTIF($J64:$P64,"2")+RAND()*0.0001)</f>
        <v>4.5138342617936033E-6</v>
      </c>
      <c r="CB64" s="561" t="str">
        <f ca="1">IF(CA64&lt;1,"",AX64)</f>
        <v/>
      </c>
      <c r="CC64" s="561">
        <f ca="1">IF($BD$1&lt;=7,COUNTIF($C64:$I64,"3")+RAND()*0.0001,COUNTIF($J64:$P64,"3")+RAND()*0.0001)</f>
        <v>9.5849102717110259E-5</v>
      </c>
      <c r="CD64" s="561" t="str">
        <f ca="1">IF(CC64&lt;1,"",AX64)</f>
        <v/>
      </c>
      <c r="CE64" s="561">
        <f ca="1">IF($BD$1&lt;=7,COUNTIF($C64:$I64,"4")+RAND()*0.0001,COUNTIF($J64:$P64,"4")+RAND()*0.0001)</f>
        <v>9.491514991014549E-6</v>
      </c>
      <c r="CF64" s="561" t="str">
        <f ca="1">IF(CE64&lt;1,"",AX64)</f>
        <v/>
      </c>
      <c r="CG64" s="561">
        <f ca="1">IF($BD$1&lt;=7,COUNTIF($C64:$I64,"5")+RAND()*0.0001,COUNTIF($J64:$P64,"5")+RAND()*0.0001)</f>
        <v>7.276173096670698E-5</v>
      </c>
      <c r="CH64" s="561" t="str">
        <f ca="1">IF(CG64&lt;1,"",AX64)</f>
        <v/>
      </c>
      <c r="CI64" s="561">
        <f ca="1">IF($BD$1&lt;=7,COUNTIF($C64:$I64,"6")+RAND()*0.0001,COUNTIF($J64:$P64,"6")+RAND()*0.0001)</f>
        <v>2.9831251775844782E-6</v>
      </c>
      <c r="CJ64" s="561" t="str">
        <f ca="1">IF(CI64&lt;1,"",AX64)</f>
        <v/>
      </c>
      <c r="CK64" s="561">
        <f ca="1">IF($BD$1&lt;=7,COUNTIF($C64:$I64,"7")+RAND()*0.0001,COUNTIF($J64:$P64,"7")+RAND()*0.0001)</f>
        <v>2.2093771508056104E-5</v>
      </c>
      <c r="CL64" s="561" t="str">
        <f ca="1">IF(CK64&lt;1,"",AX64)</f>
        <v/>
      </c>
      <c r="CM64" s="561">
        <f ca="1">IF($BD$1&lt;=7,COUNTIF($C64:$I64,"8")+RAND()*0.0001,COUNTIF($J64:$P64,"8")+RAND()*0.0001)</f>
        <v>4.5309416815607355E-5</v>
      </c>
      <c r="CN64" s="561" t="str">
        <f ca="1">IF(CM64&lt;1,"",AX64)</f>
        <v/>
      </c>
      <c r="CO64" s="1401"/>
      <c r="CP64" s="1401" t="e">
        <f ca="1">AE64+RAND()*0.01</f>
        <v>#VALUE!</v>
      </c>
      <c r="CQ64" s="1433">
        <f>VLOOKUP(C64,$CO$2:$DF$11,18,FALSE)</f>
        <v>0</v>
      </c>
      <c r="CR64" s="1433">
        <f>VLOOKUP(D64,$CO$2:$DF$11,18,FALSE)</f>
        <v>0</v>
      </c>
      <c r="CS64" s="1433">
        <f>VLOOKUP(E64,$CO$2:$DF$11,18,FALSE)</f>
        <v>0</v>
      </c>
      <c r="CT64" s="1433">
        <f>VLOOKUP(F64,$CO$2:$DF$11,18,FALSE)</f>
        <v>0</v>
      </c>
      <c r="CU64" s="1433">
        <f>VLOOKUP(G64,$CO$2:$DF$11,18,FALSE)</f>
        <v>0</v>
      </c>
      <c r="CV64" s="1433">
        <f>VLOOKUP(H64,$CO$2:$DF$11,18,FALSE)</f>
        <v>0</v>
      </c>
      <c r="CW64" s="1433">
        <f>VLOOKUP(I64,$CO$2:$DF$11,18,FALSE)</f>
        <v>0</v>
      </c>
      <c r="CX64" s="1433">
        <f>VLOOKUP(J64,$CO$2:$DF$11,18,FALSE)</f>
        <v>0</v>
      </c>
      <c r="CY64" s="1433">
        <f>VLOOKUP(K64,$CO$2:$DF$11,18,FALSE)</f>
        <v>0</v>
      </c>
      <c r="CZ64" s="1433">
        <f>VLOOKUP(L64,$CO$2:$DF$11,18,FALSE)</f>
        <v>0</v>
      </c>
      <c r="DA64" s="1433">
        <f>VLOOKUP(M64,$CO$2:$DF$11,18,FALSE)</f>
        <v>0</v>
      </c>
      <c r="DB64" s="1433">
        <f>VLOOKUP(N64,$CO$2:$DF$11,18,FALSE)</f>
        <v>0</v>
      </c>
      <c r="DC64" s="1433">
        <f>VLOOKUP(O64,$CO$2:$DF$11,18,FALSE)</f>
        <v>0</v>
      </c>
      <c r="DD64" s="1433">
        <f>VLOOKUP(P64,$CO$2:$DF$11,18,FALSE)</f>
        <v>0</v>
      </c>
      <c r="DE64" s="1432">
        <f>IF(AND(DI64=0,A64=""),AL64,IF(DI64=0,AL64+VLOOKUP(AX64,[10]Critérium!$AC$49:$DE$100,81,FALSE),AL64+VLOOKUP(AX64,[10]Critérium!$B$6:$T$22,19,FALSE)+VLOOKUP(AX64,[10]Critérium!$AC$49:$DE$100,81,FALSE)))</f>
        <v>0</v>
      </c>
      <c r="DF64" s="1431"/>
      <c r="DG64" s="1429">
        <f>IF(AND(DI64=0,A64=""),AM64,IF(DI64=0,AM64+VLOOKUP(AX64,[10]Critérium!$AC$49:$DH$100,84,FALSE),AM64+VLOOKUP(AX64,[10]Critérium!$B$6:$V$22,21,FALSE)+VLOOKUP(AX64,[10]Critérium!$AC$49:$DH$100,84,FALSE)))</f>
        <v>0</v>
      </c>
      <c r="DH64" s="1430">
        <f ca="1">IF(DG64=0,0,(DE64/DG64+RAND()*0.0001))</f>
        <v>0</v>
      </c>
      <c r="DI64" s="1429">
        <f>VLOOKUP(AX64,[10]liste!AN:AR,5,FALSE)</f>
        <v>0</v>
      </c>
      <c r="DJ64" s="1427">
        <f ca="1">DG64+RAND()</f>
        <v>0.18988805149982835</v>
      </c>
      <c r="DK64" s="1427" t="str">
        <f>A64</f>
        <v/>
      </c>
      <c r="DL64" s="1427"/>
      <c r="DM64" s="1428">
        <f>HLOOKUP($DM$1,$C$1:$P$70,64,FALSE)</f>
        <v>0</v>
      </c>
      <c r="DN64" s="1428">
        <f>HLOOKUP($DN$1,$Q$1:$AD$70,64,FALSE)</f>
        <v>0</v>
      </c>
      <c r="DO64" s="1401"/>
      <c r="DP64" s="1401"/>
      <c r="DQ64" s="1401"/>
      <c r="DR64" s="1400">
        <f>IF(SUM(C64:P64)=0,0,(AE64*10/SUM(C64:P64)/2)*AE64/21)</f>
        <v>0</v>
      </c>
      <c r="DS64" s="1427"/>
      <c r="DT64" s="1427"/>
      <c r="DU64" s="1427"/>
      <c r="DV64" s="1427"/>
      <c r="DW64" s="1427"/>
      <c r="DX64" s="1427"/>
      <c r="DY64" s="1427"/>
      <c r="DZ64" s="1427"/>
      <c r="EA64" s="1427"/>
      <c r="EB64" s="1427"/>
      <c r="EC64" s="1427"/>
      <c r="ED64" s="1427"/>
      <c r="EE64" s="1427"/>
      <c r="EF64" s="1427"/>
      <c r="EG64" s="1427"/>
      <c r="EH64" s="1427"/>
      <c r="EI64" s="1427"/>
      <c r="EJ64" s="1427"/>
      <c r="EK64" s="1427"/>
      <c r="EL64" s="1427"/>
      <c r="EM64" s="1427"/>
      <c r="EN64" s="1427"/>
      <c r="EO64" s="1427"/>
      <c r="EP64" s="1427"/>
      <c r="EQ64" s="1427"/>
      <c r="ER64" s="1427"/>
      <c r="ES64" s="1427"/>
      <c r="ET64" s="1427"/>
      <c r="EU64" s="1427"/>
      <c r="EV64" s="1427"/>
      <c r="EW64" s="1427"/>
      <c r="EX64" s="1427"/>
      <c r="EY64" s="1427"/>
      <c r="EZ64" s="1427"/>
      <c r="FA64" s="1427"/>
      <c r="FB64" s="1427"/>
      <c r="FC64" s="1427"/>
      <c r="FD64" s="1427"/>
      <c r="FE64" s="1427"/>
      <c r="FF64" s="1427"/>
      <c r="FG64" s="1427"/>
      <c r="FH64" s="1427"/>
      <c r="FI64" s="1427"/>
      <c r="FJ64" s="1427"/>
      <c r="FK64" s="1427"/>
      <c r="FL64" s="1427"/>
      <c r="FM64" s="1427"/>
      <c r="FN64" s="1427"/>
      <c r="FO64" s="1427"/>
      <c r="FP64" s="1427"/>
      <c r="FQ64" s="1427"/>
    </row>
    <row r="65" spans="1:173" s="1426" customFormat="1" ht="21.95" customHeight="1">
      <c r="A65" s="1443" t="str">
        <f>[10]points!B79</f>
        <v/>
      </c>
      <c r="B65" s="1442" t="str">
        <f>IF(A65="","",VLOOKUP(A65,[10]liste!AN:AQ,4,FALSE))</f>
        <v/>
      </c>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0" t="str">
        <f>IF(B65="","",COUNTA(Q65:AD65))</f>
        <v/>
      </c>
      <c r="AF65" s="1439">
        <f>SUM(Q65:W65)</f>
        <v>0</v>
      </c>
      <c r="AG65" s="1439">
        <f>SUM(CQ65:CW65)</f>
        <v>0</v>
      </c>
      <c r="AH65" s="1438" t="str">
        <f>IF(AG65=0,"X",AF65/AG65)</f>
        <v>X</v>
      </c>
      <c r="AI65" s="1439">
        <f>SUM(X65:AD65)</f>
        <v>0</v>
      </c>
      <c r="AJ65" s="1439">
        <f>SUM(CX65:DD65)</f>
        <v>0</v>
      </c>
      <c r="AK65" s="1438" t="str">
        <f>IF(AJ65=0,"X",AI65/AJ65)</f>
        <v>X</v>
      </c>
      <c r="AL65" s="1439">
        <f>SUM(Q65:AD65)</f>
        <v>0</v>
      </c>
      <c r="AM65" s="1439">
        <f>SUM(CQ65:DD65)</f>
        <v>0</v>
      </c>
      <c r="AN65" s="1438" t="str">
        <f>IF(CQ65+CR65+CS65+CT65+CU65+CV65+CW65+CX65+CY65+CZ65+DA65+DB65+DC65+DD65=0,"",MINVERSE(CQ65+CR65+CS65+CT65+CU65+CV65+CW65+CX65+CY65+CZ65+DA65+DB65+DC65+DD65)*AL65)</f>
        <v/>
      </c>
      <c r="AO65" s="1437">
        <f ca="1">IF(B65="",10,B65+RAND()*0.01)</f>
        <v>10</v>
      </c>
      <c r="AP65" s="1437" t="str">
        <f ca="1">IF(AND(C65="",J65=""),"e",IF(J65="",IF($BD$1&lt;=7,C65+RAND()*0.01,"e"),J65+RAND()*0.01))</f>
        <v>e</v>
      </c>
      <c r="AQ65" s="1437" t="str">
        <f ca="1">IF(AND(D65="",K65=""),"e",IF(K65="",IF($BD$1&lt;=7,D65+RAND()*0.01,"e"),K65+RAND()*0.01))</f>
        <v>e</v>
      </c>
      <c r="AR65" s="1437" t="str">
        <f ca="1">IF(AND(E65="",L65=""),"e",IF(L65="",IF($BD$1&lt;=7,E65+RAND()*0.01,"e"),L65+RAND()*0.01))</f>
        <v>e</v>
      </c>
      <c r="AS65" s="1437" t="str">
        <f ca="1">IF(AND(F65="",M65=""),"e",IF(M65="",IF($BD$1&lt;=7,F65+RAND()*0.01,"e"),M65+RAND()*0.01))</f>
        <v>e</v>
      </c>
      <c r="AT65" s="1437" t="str">
        <f ca="1">IF(AND(G65="",N65=""),"e",IF(N65="",IF($BD$1&lt;=7,G65+RAND()*0.01,"e"),N65+RAND()*0.01))</f>
        <v>e</v>
      </c>
      <c r="AU65" s="1437" t="str">
        <f ca="1">IF(AND(H65="",O65=""),"e",IF(O65="",IF($BD$1&lt;=7,H65+RAND()*0.01,"e"),O65+RAND()*0.01))</f>
        <v>e</v>
      </c>
      <c r="AV65" s="1437" t="str">
        <f ca="1">IF(AND(I65="",P65=""),"e",IF(P65="",IF($BD$1&lt;=7,I65+RAND()*0.01,"e"),P65+RAND()*0.01))</f>
        <v>e</v>
      </c>
      <c r="AW65" s="1437"/>
      <c r="AX65" s="1436" t="str">
        <f>A65</f>
        <v/>
      </c>
      <c r="AY65" s="1580" t="str">
        <f>IF(OR($H$2&gt;0,$H$3&gt;0,$H$4&gt;0,$H$5&gt;0,$H$6&gt;0,$H$7&gt;0,$H$8&gt;0,$H$2&gt;0),"",IF(COUNTIF(C65:H65,"")&gt;=5,"",IF(COUNTIF(C65:H65,SMALL(C65:H65,1))&gt;=2,SMALL(C65:H65,1),SMALL(C65:H65,2))))</f>
        <v/>
      </c>
      <c r="AZ65" s="1581" t="str">
        <f>IF(COUNTIF(J65:O65,"")&gt;=5,"",IF(COUNTIF(J65:O65,SMALL(J65:O65,1))&gt;=2,SMALL(J65:O65,1),SMALL(J65:O65,2)))</f>
        <v/>
      </c>
      <c r="BA65" s="1401"/>
      <c r="BB65" s="1401"/>
      <c r="BC65" s="1401"/>
      <c r="BD65" s="1435"/>
      <c r="BE65" s="1401"/>
      <c r="BF65" s="1401"/>
      <c r="BG65" s="1401"/>
      <c r="BH65" s="1401"/>
      <c r="BI65" s="1401"/>
      <c r="BJ65" s="1401"/>
      <c r="BK65" s="1401"/>
      <c r="BL65" s="1401"/>
      <c r="BM65" s="1401"/>
      <c r="BN65" s="1435"/>
      <c r="BO65" s="1401"/>
      <c r="BP65" s="1401"/>
      <c r="BQ65" s="1401"/>
      <c r="BR65" s="1401"/>
      <c r="BS65" s="1401"/>
      <c r="BT65" s="1401"/>
      <c r="BU65" s="1434"/>
      <c r="BV65" s="1401"/>
      <c r="BW65" s="1401"/>
      <c r="BX65" s="1401"/>
      <c r="BY65" s="561">
        <f ca="1">IF($BD$1&lt;=7,COUNTIF($C65:$I65,"1")+RAND()*0.0001,COUNTIF($J65:$P65,"1")+RAND()*0.0001)</f>
        <v>3.2790388389988491E-6</v>
      </c>
      <c r="BZ65" s="561" t="str">
        <f ca="1">IF(BY65&lt;1,"",AX65)</f>
        <v/>
      </c>
      <c r="CA65" s="561">
        <f ca="1">IF($BD$1&lt;=7,COUNTIF($C65:$I65,"2")+RAND()*0.0001,COUNTIF($J65:$P65,"2")+RAND()*0.0001)</f>
        <v>7.3821163601968151E-5</v>
      </c>
      <c r="CB65" s="561" t="str">
        <f ca="1">IF(CA65&lt;1,"",AX65)</f>
        <v/>
      </c>
      <c r="CC65" s="561">
        <f ca="1">IF($BD$1&lt;=7,COUNTIF($C65:$I65,"3")+RAND()*0.0001,COUNTIF($J65:$P65,"3")+RAND()*0.0001)</f>
        <v>3.8420443052319043E-5</v>
      </c>
      <c r="CD65" s="561" t="str">
        <f ca="1">IF(CC65&lt;1,"",AX65)</f>
        <v/>
      </c>
      <c r="CE65" s="561">
        <f ca="1">IF($BD$1&lt;=7,COUNTIF($C65:$I65,"4")+RAND()*0.0001,COUNTIF($J65:$P65,"4")+RAND()*0.0001)</f>
        <v>1.2607862487890787E-5</v>
      </c>
      <c r="CF65" s="561" t="str">
        <f ca="1">IF(CE65&lt;1,"",AX65)</f>
        <v/>
      </c>
      <c r="CG65" s="561">
        <f ca="1">IF($BD$1&lt;=7,COUNTIF($C65:$I65,"5")+RAND()*0.0001,COUNTIF($J65:$P65,"5")+RAND()*0.0001)</f>
        <v>3.8708325342672158E-5</v>
      </c>
      <c r="CH65" s="561" t="str">
        <f ca="1">IF(CG65&lt;1,"",AX65)</f>
        <v/>
      </c>
      <c r="CI65" s="561">
        <f ca="1">IF($BD$1&lt;=7,COUNTIF($C65:$I65,"6")+RAND()*0.0001,COUNTIF($J65:$P65,"6")+RAND()*0.0001)</f>
        <v>4.124962146819121E-5</v>
      </c>
      <c r="CJ65" s="561" t="str">
        <f ca="1">IF(CI65&lt;1,"",AX65)</f>
        <v/>
      </c>
      <c r="CK65" s="561">
        <f ca="1">IF($BD$1&lt;=7,COUNTIF($C65:$I65,"7")+RAND()*0.0001,COUNTIF($J65:$P65,"7")+RAND()*0.0001)</f>
        <v>6.2256261872645335E-5</v>
      </c>
      <c r="CL65" s="561" t="str">
        <f ca="1">IF(CK65&lt;1,"",AX65)</f>
        <v/>
      </c>
      <c r="CM65" s="561">
        <f ca="1">IF($BD$1&lt;=7,COUNTIF($C65:$I65,"8")+RAND()*0.0001,COUNTIF($J65:$P65,"8")+RAND()*0.0001)</f>
        <v>4.0715436504490287E-5</v>
      </c>
      <c r="CN65" s="561" t="str">
        <f ca="1">IF(CM65&lt;1,"",AX65)</f>
        <v/>
      </c>
      <c r="CO65" s="1401"/>
      <c r="CP65" s="1401" t="e">
        <f ca="1">AE65+RAND()*0.01</f>
        <v>#VALUE!</v>
      </c>
      <c r="CQ65" s="1433">
        <f>VLOOKUP(C65,$CO$2:$DF$11,18,FALSE)</f>
        <v>0</v>
      </c>
      <c r="CR65" s="1433">
        <f>VLOOKUP(D65,$CO$2:$DF$11,18,FALSE)</f>
        <v>0</v>
      </c>
      <c r="CS65" s="1433">
        <f>VLOOKUP(E65,$CO$2:$DF$11,18,FALSE)</f>
        <v>0</v>
      </c>
      <c r="CT65" s="1433">
        <f>VLOOKUP(F65,$CO$2:$DF$11,18,FALSE)</f>
        <v>0</v>
      </c>
      <c r="CU65" s="1433">
        <f>VLOOKUP(G65,$CO$2:$DF$11,18,FALSE)</f>
        <v>0</v>
      </c>
      <c r="CV65" s="1433">
        <f>VLOOKUP(H65,$CO$2:$DF$11,18,FALSE)</f>
        <v>0</v>
      </c>
      <c r="CW65" s="1433">
        <f>VLOOKUP(I65,$CO$2:$DF$11,18,FALSE)</f>
        <v>0</v>
      </c>
      <c r="CX65" s="1433">
        <f>VLOOKUP(J65,$CO$2:$DF$11,18,FALSE)</f>
        <v>0</v>
      </c>
      <c r="CY65" s="1433">
        <f>VLOOKUP(K65,$CO$2:$DF$11,18,FALSE)</f>
        <v>0</v>
      </c>
      <c r="CZ65" s="1433">
        <f>VLOOKUP(L65,$CO$2:$DF$11,18,FALSE)</f>
        <v>0</v>
      </c>
      <c r="DA65" s="1433">
        <f>VLOOKUP(M65,$CO$2:$DF$11,18,FALSE)</f>
        <v>0</v>
      </c>
      <c r="DB65" s="1433">
        <f>VLOOKUP(N65,$CO$2:$DF$11,18,FALSE)</f>
        <v>0</v>
      </c>
      <c r="DC65" s="1433">
        <f>VLOOKUP(O65,$CO$2:$DF$11,18,FALSE)</f>
        <v>0</v>
      </c>
      <c r="DD65" s="1433">
        <f>VLOOKUP(P65,$CO$2:$DF$11,18,FALSE)</f>
        <v>0</v>
      </c>
      <c r="DE65" s="1432">
        <f>IF(AND(DI65=0,A65=""),AL65,IF(DI65=0,AL65+VLOOKUP(AX65,[10]Critérium!$AC$49:$DE$100,81,FALSE),AL65+VLOOKUP(AX65,[10]Critérium!$B$6:$T$22,19,FALSE)+VLOOKUP(AX65,[10]Critérium!$AC$49:$DE$100,81,FALSE)))</f>
        <v>0</v>
      </c>
      <c r="DF65" s="1431"/>
      <c r="DG65" s="1429">
        <f>IF(AND(DI65=0,A65=""),AM65,IF(DI65=0,AM65+VLOOKUP(AX65,[10]Critérium!$AC$49:$DH$100,84,FALSE),AM65+VLOOKUP(AX65,[10]Critérium!$B$6:$V$22,21,FALSE)+VLOOKUP(AX65,[10]Critérium!$AC$49:$DH$100,84,FALSE)))</f>
        <v>0</v>
      </c>
      <c r="DH65" s="1430">
        <f ca="1">IF(DG65=0,0,(DE65/DG65+RAND()*0.0001))</f>
        <v>0</v>
      </c>
      <c r="DI65" s="1429">
        <f>VLOOKUP(AX65,[10]liste!AN:AR,5,FALSE)</f>
        <v>0</v>
      </c>
      <c r="DJ65" s="1427">
        <f ca="1">DG65+RAND()</f>
        <v>0.85104747439973194</v>
      </c>
      <c r="DK65" s="1427" t="str">
        <f>A65</f>
        <v/>
      </c>
      <c r="DL65" s="1427"/>
      <c r="DM65" s="1428">
        <f>HLOOKUP($DM$1,$C$1:$P$70,65,FALSE)</f>
        <v>0</v>
      </c>
      <c r="DN65" s="1428">
        <f>HLOOKUP($DN$1,$Q$1:$AD$70,65,FALSE)</f>
        <v>0</v>
      </c>
      <c r="DO65" s="1401"/>
      <c r="DP65" s="1401"/>
      <c r="DQ65" s="1401"/>
      <c r="DR65" s="1400">
        <f>IF(SUM(C65:P65)=0,0,(AE65*10/SUM(C65:P65)/2)*AE65/21)</f>
        <v>0</v>
      </c>
      <c r="DS65" s="1427"/>
      <c r="DT65" s="1427"/>
      <c r="DU65" s="1427"/>
      <c r="DV65" s="1427"/>
      <c r="DW65" s="1427"/>
      <c r="DX65" s="1427"/>
      <c r="DY65" s="1427"/>
      <c r="DZ65" s="1427"/>
      <c r="EA65" s="1427"/>
      <c r="EB65" s="1427"/>
      <c r="EC65" s="1427"/>
      <c r="ED65" s="1427"/>
      <c r="EE65" s="1427"/>
      <c r="EF65" s="1427"/>
      <c r="EG65" s="1427"/>
      <c r="EH65" s="1427"/>
      <c r="EI65" s="1427"/>
      <c r="EJ65" s="1427"/>
      <c r="EK65" s="1427"/>
      <c r="EL65" s="1427"/>
      <c r="EM65" s="1427"/>
      <c r="EN65" s="1427"/>
      <c r="EO65" s="1427"/>
      <c r="EP65" s="1427"/>
      <c r="EQ65" s="1427"/>
      <c r="ER65" s="1427"/>
      <c r="ES65" s="1427"/>
      <c r="ET65" s="1427"/>
      <c r="EU65" s="1427"/>
      <c r="EV65" s="1427"/>
      <c r="EW65" s="1427"/>
      <c r="EX65" s="1427"/>
      <c r="EY65" s="1427"/>
      <c r="EZ65" s="1427"/>
      <c r="FA65" s="1427"/>
      <c r="FB65" s="1427"/>
      <c r="FC65" s="1427"/>
      <c r="FD65" s="1427"/>
      <c r="FE65" s="1427"/>
      <c r="FF65" s="1427"/>
      <c r="FG65" s="1427"/>
      <c r="FH65" s="1427"/>
      <c r="FI65" s="1427"/>
      <c r="FJ65" s="1427"/>
      <c r="FK65" s="1427"/>
      <c r="FL65" s="1427"/>
      <c r="FM65" s="1427"/>
      <c r="FN65" s="1427"/>
      <c r="FO65" s="1427"/>
      <c r="FP65" s="1427"/>
      <c r="FQ65" s="1427"/>
    </row>
    <row r="66" spans="1:173" s="1426" customFormat="1" ht="21.95" customHeight="1">
      <c r="A66" s="1443" t="str">
        <f>[10]points!B80</f>
        <v/>
      </c>
      <c r="B66" s="1442" t="str">
        <f>IF(A66="","",VLOOKUP(A66,[10]liste!AN:AQ,4,FALSE))</f>
        <v/>
      </c>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0" t="str">
        <f>IF(B66="","",COUNTA(Q66:AD66))</f>
        <v/>
      </c>
      <c r="AF66" s="1439">
        <f>SUM(Q66:W66)</f>
        <v>0</v>
      </c>
      <c r="AG66" s="1439">
        <f>SUM(CQ66:CW66)</f>
        <v>0</v>
      </c>
      <c r="AH66" s="1438" t="str">
        <f>IF(AG66=0,"X",AF66/AG66)</f>
        <v>X</v>
      </c>
      <c r="AI66" s="1439">
        <f>SUM(X66:AD66)</f>
        <v>0</v>
      </c>
      <c r="AJ66" s="1439">
        <f>SUM(CX66:DD66)</f>
        <v>0</v>
      </c>
      <c r="AK66" s="1438" t="str">
        <f>IF(AJ66=0,"X",AI66/AJ66)</f>
        <v>X</v>
      </c>
      <c r="AL66" s="1439">
        <f>SUM(Q66:AD66)</f>
        <v>0</v>
      </c>
      <c r="AM66" s="1439">
        <f>SUM(CQ66:DD66)</f>
        <v>0</v>
      </c>
      <c r="AN66" s="1438" t="str">
        <f>IF(CQ66+CR66+CS66+CT66+CU66+CV66+CW66+CX66+CY66+CZ66+DA66+DB66+DC66+DD66=0,"",MINVERSE(CQ66+CR66+CS66+CT66+CU66+CV66+CW66+CX66+CY66+CZ66+DA66+DB66+DC66+DD66)*AL66)</f>
        <v/>
      </c>
      <c r="AO66" s="1437">
        <f ca="1">IF(B66="",10,B66+RAND()*0.01)</f>
        <v>10</v>
      </c>
      <c r="AP66" s="1437" t="str">
        <f ca="1">IF(AND(C66="",J66=""),"e",IF(J66="",IF($BD$1&lt;=7,C66+RAND()*0.01,"e"),J66+RAND()*0.01))</f>
        <v>e</v>
      </c>
      <c r="AQ66" s="1437" t="str">
        <f ca="1">IF(AND(D66="",K66=""),"e",IF(K66="",IF($BD$1&lt;=7,D66+RAND()*0.01,"e"),K66+RAND()*0.01))</f>
        <v>e</v>
      </c>
      <c r="AR66" s="1437" t="str">
        <f ca="1">IF(AND(E66="",L66=""),"e",IF(L66="",IF($BD$1&lt;=7,E66+RAND()*0.01,"e"),L66+RAND()*0.01))</f>
        <v>e</v>
      </c>
      <c r="AS66" s="1437" t="str">
        <f ca="1">IF(AND(F66="",M66=""),"e",IF(M66="",IF($BD$1&lt;=7,F66+RAND()*0.01,"e"),M66+RAND()*0.01))</f>
        <v>e</v>
      </c>
      <c r="AT66" s="1437" t="str">
        <f ca="1">IF(AND(G66="",N66=""),"e",IF(N66="",IF($BD$1&lt;=7,G66+RAND()*0.01,"e"),N66+RAND()*0.01))</f>
        <v>e</v>
      </c>
      <c r="AU66" s="1437" t="str">
        <f ca="1">IF(AND(H66="",O66=""),"e",IF(O66="",IF($BD$1&lt;=7,H66+RAND()*0.01,"e"),O66+RAND()*0.01))</f>
        <v>e</v>
      </c>
      <c r="AV66" s="1437" t="str">
        <f ca="1">IF(AND(I66="",P66=""),"e",IF(P66="",IF($BD$1&lt;=7,I66+RAND()*0.01,"e"),P66+RAND()*0.01))</f>
        <v>e</v>
      </c>
      <c r="AW66" s="1437"/>
      <c r="AX66" s="1436" t="str">
        <f>A66</f>
        <v/>
      </c>
      <c r="AY66" s="1580" t="str">
        <f>IF(OR($H$2&gt;0,$H$3&gt;0,$H$4&gt;0,$H$5&gt;0,$H$6&gt;0,$H$7&gt;0,$H$8&gt;0,$H$2&gt;0),"",IF(COUNTIF(C66:H66,"")&gt;=5,"",IF(COUNTIF(C66:H66,SMALL(C66:H66,1))&gt;=2,SMALL(C66:H66,1),SMALL(C66:H66,2))))</f>
        <v/>
      </c>
      <c r="AZ66" s="1581" t="str">
        <f>IF(COUNTIF(J66:O66,"")&gt;=5,"",IF(COUNTIF(J66:O66,SMALL(J66:O66,1))&gt;=2,SMALL(J66:O66,1),SMALL(J66:O66,2)))</f>
        <v/>
      </c>
      <c r="BA66" s="1401"/>
      <c r="BB66" s="1401"/>
      <c r="BC66" s="1401"/>
      <c r="BD66" s="1435"/>
      <c r="BE66" s="1401"/>
      <c r="BF66" s="1401"/>
      <c r="BG66" s="1401"/>
      <c r="BH66" s="1401"/>
      <c r="BI66" s="1401"/>
      <c r="BJ66" s="1401"/>
      <c r="BK66" s="1401"/>
      <c r="BL66" s="1401"/>
      <c r="BM66" s="1401"/>
      <c r="BN66" s="1435"/>
      <c r="BO66" s="1401"/>
      <c r="BP66" s="1401"/>
      <c r="BQ66" s="1401"/>
      <c r="BR66" s="1401"/>
      <c r="BS66" s="1401"/>
      <c r="BT66" s="1401"/>
      <c r="BU66" s="1434"/>
      <c r="BV66" s="1401"/>
      <c r="BW66" s="1401"/>
      <c r="BX66" s="1401"/>
      <c r="BY66" s="561">
        <f ca="1">IF($BD$1&lt;=7,COUNTIF($C66:$I66,"1")+RAND()*0.0001,COUNTIF($J66:$P66,"1")+RAND()*0.0001)</f>
        <v>3.8829964386538966E-6</v>
      </c>
      <c r="BZ66" s="561" t="str">
        <f ca="1">IF(BY66&lt;1,"",AX66)</f>
        <v/>
      </c>
      <c r="CA66" s="561">
        <f ca="1">IF($BD$1&lt;=7,COUNTIF($C66:$I66,"2")+RAND()*0.0001,COUNTIF($J66:$P66,"2")+RAND()*0.0001)</f>
        <v>5.0523836919793387E-5</v>
      </c>
      <c r="CB66" s="561" t="str">
        <f ca="1">IF(CA66&lt;1,"",AX66)</f>
        <v/>
      </c>
      <c r="CC66" s="561">
        <f ca="1">IF($BD$1&lt;=7,COUNTIF($C66:$I66,"3")+RAND()*0.0001,COUNTIF($J66:$P66,"3")+RAND()*0.0001)</f>
        <v>7.6007914377069781E-5</v>
      </c>
      <c r="CD66" s="561" t="str">
        <f ca="1">IF(CC66&lt;1,"",AX66)</f>
        <v/>
      </c>
      <c r="CE66" s="561">
        <f ca="1">IF($BD$1&lt;=7,COUNTIF($C66:$I66,"4")+RAND()*0.0001,COUNTIF($J66:$P66,"4")+RAND()*0.0001)</f>
        <v>9.7711856360386574E-5</v>
      </c>
      <c r="CF66" s="561" t="str">
        <f ca="1">IF(CE66&lt;1,"",AX66)</f>
        <v/>
      </c>
      <c r="CG66" s="561">
        <f ca="1">IF($BD$1&lt;=7,COUNTIF($C66:$I66,"5")+RAND()*0.0001,COUNTIF($J66:$P66,"5")+RAND()*0.0001)</f>
        <v>9.7355806048561372E-5</v>
      </c>
      <c r="CH66" s="561" t="str">
        <f ca="1">IF(CG66&lt;1,"",AX66)</f>
        <v/>
      </c>
      <c r="CI66" s="561">
        <f ca="1">IF($BD$1&lt;=7,COUNTIF($C66:$I66,"6")+RAND()*0.0001,COUNTIF($J66:$P66,"6")+RAND()*0.0001)</f>
        <v>2.5510658040772495E-5</v>
      </c>
      <c r="CJ66" s="561" t="str">
        <f ca="1">IF(CI66&lt;1,"",AX66)</f>
        <v/>
      </c>
      <c r="CK66" s="561">
        <f ca="1">IF($BD$1&lt;=7,COUNTIF($C66:$I66,"7")+RAND()*0.0001,COUNTIF($J66:$P66,"7")+RAND()*0.0001)</f>
        <v>5.8177794184009472E-5</v>
      </c>
      <c r="CL66" s="561" t="str">
        <f ca="1">IF(CK66&lt;1,"",AX66)</f>
        <v/>
      </c>
      <c r="CM66" s="561">
        <f ca="1">IF($BD$1&lt;=7,COUNTIF($C66:$I66,"8")+RAND()*0.0001,COUNTIF($J66:$P66,"8")+RAND()*0.0001)</f>
        <v>8.1855161122290661E-5</v>
      </c>
      <c r="CN66" s="561" t="str">
        <f ca="1">IF(CM66&lt;1,"",AX66)</f>
        <v/>
      </c>
      <c r="CO66" s="1401"/>
      <c r="CP66" s="1401" t="e">
        <f ca="1">AE66+RAND()*0.01</f>
        <v>#VALUE!</v>
      </c>
      <c r="CQ66" s="1433">
        <f>VLOOKUP(C66,$CO$2:$DF$11,18,FALSE)</f>
        <v>0</v>
      </c>
      <c r="CR66" s="1433">
        <f>VLOOKUP(D66,$CO$2:$DF$11,18,FALSE)</f>
        <v>0</v>
      </c>
      <c r="CS66" s="1433">
        <f>VLOOKUP(E66,$CO$2:$DF$11,18,FALSE)</f>
        <v>0</v>
      </c>
      <c r="CT66" s="1433">
        <f>VLOOKUP(F66,$CO$2:$DF$11,18,FALSE)</f>
        <v>0</v>
      </c>
      <c r="CU66" s="1433">
        <f>VLOOKUP(G66,$CO$2:$DF$11,18,FALSE)</f>
        <v>0</v>
      </c>
      <c r="CV66" s="1433">
        <f>VLOOKUP(H66,$CO$2:$DF$11,18,FALSE)</f>
        <v>0</v>
      </c>
      <c r="CW66" s="1433">
        <f>VLOOKUP(I66,$CO$2:$DF$11,18,FALSE)</f>
        <v>0</v>
      </c>
      <c r="CX66" s="1433">
        <f>VLOOKUP(J66,$CO$2:$DF$11,18,FALSE)</f>
        <v>0</v>
      </c>
      <c r="CY66" s="1433">
        <f>VLOOKUP(K66,$CO$2:$DF$11,18,FALSE)</f>
        <v>0</v>
      </c>
      <c r="CZ66" s="1433">
        <f>VLOOKUP(L66,$CO$2:$DF$11,18,FALSE)</f>
        <v>0</v>
      </c>
      <c r="DA66" s="1433">
        <f>VLOOKUP(M66,$CO$2:$DF$11,18,FALSE)</f>
        <v>0</v>
      </c>
      <c r="DB66" s="1433">
        <f>VLOOKUP(N66,$CO$2:$DF$11,18,FALSE)</f>
        <v>0</v>
      </c>
      <c r="DC66" s="1433">
        <f>VLOOKUP(O66,$CO$2:$DF$11,18,FALSE)</f>
        <v>0</v>
      </c>
      <c r="DD66" s="1433">
        <f>VLOOKUP(P66,$CO$2:$DF$11,18,FALSE)</f>
        <v>0</v>
      </c>
      <c r="DE66" s="1432">
        <f>IF(AND(DI66=0,A66=""),AL66,IF(DI66=0,AL66+VLOOKUP(AX66,[10]Critérium!$AC$49:$DE$100,81,FALSE),AL66+VLOOKUP(AX66,[10]Critérium!$B$6:$T$22,19,FALSE)+VLOOKUP(AX66,[10]Critérium!$AC$49:$DE$100,81,FALSE)))</f>
        <v>0</v>
      </c>
      <c r="DF66" s="1431"/>
      <c r="DG66" s="1429">
        <f>IF(AND(DI66=0,A66=""),AM66,IF(DI66=0,AM66+VLOOKUP(AX66,[10]Critérium!$AC$49:$DH$100,84,FALSE),AM66+VLOOKUP(AX66,[10]Critérium!$B$6:$V$22,21,FALSE)+VLOOKUP(AX66,[10]Critérium!$AC$49:$DH$100,84,FALSE)))</f>
        <v>0</v>
      </c>
      <c r="DH66" s="1430">
        <f ca="1">IF(DG66=0,0,(DE66/DG66+RAND()*0.0001))</f>
        <v>0</v>
      </c>
      <c r="DI66" s="1429">
        <f>VLOOKUP(AX66,[10]liste!AN:AR,5,FALSE)</f>
        <v>0</v>
      </c>
      <c r="DJ66" s="1427">
        <f ca="1">DG66+RAND()</f>
        <v>0.90687680541947546</v>
      </c>
      <c r="DK66" s="1427" t="str">
        <f>A66</f>
        <v/>
      </c>
      <c r="DL66" s="1427"/>
      <c r="DM66" s="1428">
        <f>HLOOKUP($DM$1,$C$1:$P$70,66,FALSE)</f>
        <v>0</v>
      </c>
      <c r="DN66" s="1428">
        <f>HLOOKUP($DN$1,$Q$1:$AD$70,66,FALSE)</f>
        <v>0</v>
      </c>
      <c r="DO66" s="1401"/>
      <c r="DP66" s="1401"/>
      <c r="DQ66" s="1401"/>
      <c r="DR66" s="1400">
        <f>IF(SUM(C66:P66)=0,0,(AE66*10/SUM(C66:P66)/2)*AE66/21)</f>
        <v>0</v>
      </c>
      <c r="DS66" s="1427"/>
      <c r="DT66" s="1427"/>
      <c r="DU66" s="1427"/>
      <c r="DV66" s="1427"/>
      <c r="DW66" s="1427"/>
      <c r="DX66" s="1427"/>
      <c r="DY66" s="1427"/>
      <c r="DZ66" s="1427"/>
      <c r="EA66" s="1427"/>
      <c r="EB66" s="1427"/>
      <c r="EC66" s="1427"/>
      <c r="ED66" s="1427"/>
      <c r="EE66" s="1427"/>
      <c r="EF66" s="1427"/>
      <c r="EG66" s="1427"/>
      <c r="EH66" s="1427"/>
      <c r="EI66" s="1427"/>
      <c r="EJ66" s="1427"/>
      <c r="EK66" s="1427"/>
      <c r="EL66" s="1427"/>
      <c r="EM66" s="1427"/>
      <c r="EN66" s="1427"/>
      <c r="EO66" s="1427"/>
      <c r="EP66" s="1427"/>
      <c r="EQ66" s="1427"/>
      <c r="ER66" s="1427"/>
      <c r="ES66" s="1427"/>
      <c r="ET66" s="1427"/>
      <c r="EU66" s="1427"/>
      <c r="EV66" s="1427"/>
      <c r="EW66" s="1427"/>
      <c r="EX66" s="1427"/>
      <c r="EY66" s="1427"/>
      <c r="EZ66" s="1427"/>
      <c r="FA66" s="1427"/>
      <c r="FB66" s="1427"/>
      <c r="FC66" s="1427"/>
      <c r="FD66" s="1427"/>
      <c r="FE66" s="1427"/>
      <c r="FF66" s="1427"/>
      <c r="FG66" s="1427"/>
      <c r="FH66" s="1427"/>
      <c r="FI66" s="1427"/>
      <c r="FJ66" s="1427"/>
      <c r="FK66" s="1427"/>
      <c r="FL66" s="1427"/>
      <c r="FM66" s="1427"/>
      <c r="FN66" s="1427"/>
      <c r="FO66" s="1427"/>
      <c r="FP66" s="1427"/>
      <c r="FQ66" s="1427"/>
    </row>
    <row r="67" spans="1:173" s="1426" customFormat="1" ht="21.95" customHeight="1">
      <c r="A67" s="1443" t="str">
        <f>[10]points!B81</f>
        <v/>
      </c>
      <c r="B67" s="1442" t="str">
        <f>IF(A67="","",VLOOKUP(A67,[10]liste!AN:AQ,4,FALSE))</f>
        <v/>
      </c>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0" t="str">
        <f>IF(B67="","",COUNTA(Q67:AD67))</f>
        <v/>
      </c>
      <c r="AF67" s="1439">
        <f>SUM(Q67:W67)</f>
        <v>0</v>
      </c>
      <c r="AG67" s="1439">
        <f>SUM(CQ67:CW67)</f>
        <v>0</v>
      </c>
      <c r="AH67" s="1438" t="str">
        <f>IF(AG67=0,"X",AF67/AG67)</f>
        <v>X</v>
      </c>
      <c r="AI67" s="1439">
        <f>SUM(X67:AD67)</f>
        <v>0</v>
      </c>
      <c r="AJ67" s="1439">
        <f>SUM(CX67:DD67)</f>
        <v>0</v>
      </c>
      <c r="AK67" s="1438" t="str">
        <f>IF(AJ67=0,"X",AI67/AJ67)</f>
        <v>X</v>
      </c>
      <c r="AL67" s="1439">
        <f>SUM(Q67:AD67)</f>
        <v>0</v>
      </c>
      <c r="AM67" s="1439">
        <f>SUM(CQ67:DD67)</f>
        <v>0</v>
      </c>
      <c r="AN67" s="1438" t="str">
        <f>IF(CQ67+CR67+CS67+CT67+CU67+CV67+CW67+CX67+CY67+CZ67+DA67+DB67+DC67+DD67=0,"",MINVERSE(CQ67+CR67+CS67+CT67+CU67+CV67+CW67+CX67+CY67+CZ67+DA67+DB67+DC67+DD67)*AL67)</f>
        <v/>
      </c>
      <c r="AO67" s="1437">
        <f ca="1">IF(B67="",10,B67+RAND()*0.01)</f>
        <v>10</v>
      </c>
      <c r="AP67" s="1437" t="str">
        <f ca="1">IF(AND(C67="",J67=""),"e",IF(J67="",IF($BD$1&lt;=7,C67+RAND()*0.01,"e"),J67+RAND()*0.01))</f>
        <v>e</v>
      </c>
      <c r="AQ67" s="1437" t="str">
        <f ca="1">IF(AND(D67="",K67=""),"e",IF(K67="",IF($BD$1&lt;=7,D67+RAND()*0.01,"e"),K67+RAND()*0.01))</f>
        <v>e</v>
      </c>
      <c r="AR67" s="1437" t="str">
        <f ca="1">IF(AND(E67="",L67=""),"e",IF(L67="",IF($BD$1&lt;=7,E67+RAND()*0.01,"e"),L67+RAND()*0.01))</f>
        <v>e</v>
      </c>
      <c r="AS67" s="1437" t="str">
        <f ca="1">IF(AND(F67="",M67=""),"e",IF(M67="",IF($BD$1&lt;=7,F67+RAND()*0.01,"e"),M67+RAND()*0.01))</f>
        <v>e</v>
      </c>
      <c r="AT67" s="1437" t="str">
        <f ca="1">IF(AND(G67="",N67=""),"e",IF(N67="",IF($BD$1&lt;=7,G67+RAND()*0.01,"e"),N67+RAND()*0.01))</f>
        <v>e</v>
      </c>
      <c r="AU67" s="1437" t="str">
        <f ca="1">IF(AND(H67="",O67=""),"e",IF(O67="",IF($BD$1&lt;=7,H67+RAND()*0.01,"e"),O67+RAND()*0.01))</f>
        <v>e</v>
      </c>
      <c r="AV67" s="1437" t="str">
        <f ca="1">IF(AND(I67="",P67=""),"e",IF(P67="",IF($BD$1&lt;=7,I67+RAND()*0.01,"e"),P67+RAND()*0.01))</f>
        <v>e</v>
      </c>
      <c r="AW67" s="1437"/>
      <c r="AX67" s="1436" t="str">
        <f>A67</f>
        <v/>
      </c>
      <c r="AY67" s="1580" t="str">
        <f>IF(OR($H$2&gt;0,$H$3&gt;0,$H$4&gt;0,$H$5&gt;0,$H$6&gt;0,$H$7&gt;0,$H$8&gt;0,$H$2&gt;0),"",IF(COUNTIF(C67:H67,"")&gt;=5,"",IF(COUNTIF(C67:H67,SMALL(C67:H67,1))&gt;=2,SMALL(C67:H67,1),SMALL(C67:H67,2))))</f>
        <v/>
      </c>
      <c r="AZ67" s="1581" t="str">
        <f>IF(COUNTIF(J67:O67,"")&gt;=5,"",IF(COUNTIF(J67:O67,SMALL(J67:O67,1))&gt;=2,SMALL(J67:O67,1),SMALL(J67:O67,2)))</f>
        <v/>
      </c>
      <c r="BA67" s="1401"/>
      <c r="BB67" s="1401"/>
      <c r="BC67" s="1401"/>
      <c r="BD67" s="1435"/>
      <c r="BE67" s="1401"/>
      <c r="BF67" s="1401"/>
      <c r="BG67" s="1401"/>
      <c r="BH67" s="1401"/>
      <c r="BI67" s="1401"/>
      <c r="BJ67" s="1401"/>
      <c r="BK67" s="1401"/>
      <c r="BL67" s="1401"/>
      <c r="BM67" s="1401"/>
      <c r="BN67" s="1435"/>
      <c r="BO67" s="1401"/>
      <c r="BP67" s="1401"/>
      <c r="BQ67" s="1401"/>
      <c r="BR67" s="1401"/>
      <c r="BS67" s="1401"/>
      <c r="BT67" s="1401"/>
      <c r="BU67" s="1434"/>
      <c r="BV67" s="1401"/>
      <c r="BW67" s="1401"/>
      <c r="BX67" s="1401"/>
      <c r="BY67" s="561">
        <f ca="1">IF($BD$1&lt;=7,COUNTIF($C67:$I67,"1")+RAND()*0.0001,COUNTIF($J67:$P67,"1")+RAND()*0.0001)</f>
        <v>7.495429105222998E-5</v>
      </c>
      <c r="BZ67" s="561" t="str">
        <f ca="1">IF(BY67&lt;1,"",AX67)</f>
        <v/>
      </c>
      <c r="CA67" s="561">
        <f ca="1">IF($BD$1&lt;=7,COUNTIF($C67:$I67,"2")+RAND()*0.0001,COUNTIF($J67:$P67,"2")+RAND()*0.0001)</f>
        <v>6.5222981413643022E-6</v>
      </c>
      <c r="CB67" s="561" t="str">
        <f ca="1">IF(CA67&lt;1,"",AX67)</f>
        <v/>
      </c>
      <c r="CC67" s="561">
        <f ca="1">IF($BD$1&lt;=7,COUNTIF($C67:$I67,"3")+RAND()*0.0001,COUNTIF($J67:$P67,"3")+RAND()*0.0001)</f>
        <v>5.1906991956331143E-5</v>
      </c>
      <c r="CD67" s="561" t="str">
        <f ca="1">IF(CC67&lt;1,"",AX67)</f>
        <v/>
      </c>
      <c r="CE67" s="561">
        <f ca="1">IF($BD$1&lt;=7,COUNTIF($C67:$I67,"4")+RAND()*0.0001,COUNTIF($J67:$P67,"4")+RAND()*0.0001)</f>
        <v>4.8640555364925511E-5</v>
      </c>
      <c r="CF67" s="561" t="str">
        <f ca="1">IF(CE67&lt;1,"",AX67)</f>
        <v/>
      </c>
      <c r="CG67" s="561">
        <f ca="1">IF($BD$1&lt;=7,COUNTIF($C67:$I67,"5")+RAND()*0.0001,COUNTIF($J67:$P67,"5")+RAND()*0.0001)</f>
        <v>5.3622991213056915E-5</v>
      </c>
      <c r="CH67" s="561" t="str">
        <f ca="1">IF(CG67&lt;1,"",AX67)</f>
        <v/>
      </c>
      <c r="CI67" s="561">
        <f ca="1">IF($BD$1&lt;=7,COUNTIF($C67:$I67,"6")+RAND()*0.0001,COUNTIF($J67:$P67,"6")+RAND()*0.0001)</f>
        <v>2.9299123450381684E-5</v>
      </c>
      <c r="CJ67" s="561" t="str">
        <f ca="1">IF(CI67&lt;1,"",AX67)</f>
        <v/>
      </c>
      <c r="CK67" s="561">
        <f ca="1">IF($BD$1&lt;=7,COUNTIF($C67:$I67,"7")+RAND()*0.0001,COUNTIF($J67:$P67,"7")+RAND()*0.0001)</f>
        <v>6.8002045002770259E-5</v>
      </c>
      <c r="CL67" s="561" t="str">
        <f ca="1">IF(CK67&lt;1,"",AX67)</f>
        <v/>
      </c>
      <c r="CM67" s="561">
        <f ca="1">IF($BD$1&lt;=7,COUNTIF($C67:$I67,"8")+RAND()*0.0001,COUNTIF($J67:$P67,"8")+RAND()*0.0001)</f>
        <v>5.8509285403141169E-5</v>
      </c>
      <c r="CN67" s="561" t="str">
        <f ca="1">IF(CM67&lt;1,"",AX67)</f>
        <v/>
      </c>
      <c r="CO67" s="1401"/>
      <c r="CP67" s="1401" t="e">
        <f ca="1">AE67+RAND()*0.01</f>
        <v>#VALUE!</v>
      </c>
      <c r="CQ67" s="1433">
        <f>VLOOKUP(C67,$CO$2:$DF$11,18,FALSE)</f>
        <v>0</v>
      </c>
      <c r="CR67" s="1433">
        <f>VLOOKUP(D67,$CO$2:$DF$11,18,FALSE)</f>
        <v>0</v>
      </c>
      <c r="CS67" s="1433">
        <f>VLOOKUP(E67,$CO$2:$DF$11,18,FALSE)</f>
        <v>0</v>
      </c>
      <c r="CT67" s="1433">
        <f>VLOOKUP(F67,$CO$2:$DF$11,18,FALSE)</f>
        <v>0</v>
      </c>
      <c r="CU67" s="1433">
        <f>VLOOKUP(G67,$CO$2:$DF$11,18,FALSE)</f>
        <v>0</v>
      </c>
      <c r="CV67" s="1433">
        <f>VLOOKUP(H67,$CO$2:$DF$11,18,FALSE)</f>
        <v>0</v>
      </c>
      <c r="CW67" s="1433">
        <f>VLOOKUP(I67,$CO$2:$DF$11,18,FALSE)</f>
        <v>0</v>
      </c>
      <c r="CX67" s="1433">
        <f>VLOOKUP(J67,$CO$2:$DF$11,18,FALSE)</f>
        <v>0</v>
      </c>
      <c r="CY67" s="1433">
        <f>VLOOKUP(K67,$CO$2:$DF$11,18,FALSE)</f>
        <v>0</v>
      </c>
      <c r="CZ67" s="1433">
        <f>VLOOKUP(L67,$CO$2:$DF$11,18,FALSE)</f>
        <v>0</v>
      </c>
      <c r="DA67" s="1433">
        <f>VLOOKUP(M67,$CO$2:$DF$11,18,FALSE)</f>
        <v>0</v>
      </c>
      <c r="DB67" s="1433">
        <f>VLOOKUP(N67,$CO$2:$DF$11,18,FALSE)</f>
        <v>0</v>
      </c>
      <c r="DC67" s="1433">
        <f>VLOOKUP(O67,$CO$2:$DF$11,18,FALSE)</f>
        <v>0</v>
      </c>
      <c r="DD67" s="1433">
        <f>VLOOKUP(P67,$CO$2:$DF$11,18,FALSE)</f>
        <v>0</v>
      </c>
      <c r="DE67" s="1432">
        <f>IF(AND(DI67=0,A67=""),AL67,IF(DI67=0,AL67+VLOOKUP(AX67,[10]Critérium!$AC$49:$DE$100,81,FALSE),AL67+VLOOKUP(AX67,[10]Critérium!$B$6:$T$22,19,FALSE)+VLOOKUP(AX67,[10]Critérium!$AC$49:$DE$100,81,FALSE)))</f>
        <v>0</v>
      </c>
      <c r="DF67" s="1431"/>
      <c r="DG67" s="1429">
        <f>IF(AND(DI67=0,A67=""),AM67,IF(DI67=0,AM67+VLOOKUP(AX67,[10]Critérium!$AC$49:$DH$100,84,FALSE),AM67+VLOOKUP(AX67,[10]Critérium!$B$6:$V$22,21,FALSE)+VLOOKUP(AX67,[10]Critérium!$AC$49:$DH$100,84,FALSE)))</f>
        <v>0</v>
      </c>
      <c r="DH67" s="1430">
        <f ca="1">IF(DG67=0,0,(DE67/DG67+RAND()*0.0001))</f>
        <v>0</v>
      </c>
      <c r="DI67" s="1429">
        <f>VLOOKUP(AX67,[10]liste!AN:AR,5,FALSE)</f>
        <v>0</v>
      </c>
      <c r="DJ67" s="1427">
        <f ca="1">DG67+RAND()</f>
        <v>0.145448242411922</v>
      </c>
      <c r="DK67" s="1427" t="str">
        <f>A67</f>
        <v/>
      </c>
      <c r="DL67" s="1427"/>
      <c r="DM67" s="1428">
        <f>HLOOKUP($DM$1,$C$1:$P$70,67,FALSE)</f>
        <v>0</v>
      </c>
      <c r="DN67" s="1428">
        <f>HLOOKUP($DN$1,$Q$1:$AD$70,67,FALSE)</f>
        <v>0</v>
      </c>
      <c r="DO67" s="1401"/>
      <c r="DP67" s="1401"/>
      <c r="DQ67" s="1401"/>
      <c r="DR67" s="1400">
        <f>IF(SUM(C67:P67)=0,0,(AE67*10/SUM(C67:P67)/2)*AE67/21)</f>
        <v>0</v>
      </c>
      <c r="DS67" s="1427"/>
      <c r="DT67" s="1427"/>
      <c r="DU67" s="1427"/>
      <c r="DV67" s="1427"/>
      <c r="DW67" s="1427"/>
      <c r="DX67" s="1427"/>
      <c r="DY67" s="1427"/>
      <c r="DZ67" s="1427"/>
      <c r="EA67" s="1427"/>
      <c r="EB67" s="1427"/>
      <c r="EC67" s="1427"/>
      <c r="ED67" s="1427"/>
      <c r="EE67" s="1427"/>
      <c r="EF67" s="1427"/>
      <c r="EG67" s="1427"/>
      <c r="EH67" s="1427"/>
      <c r="EI67" s="1427"/>
      <c r="EJ67" s="1427"/>
      <c r="EK67" s="1427"/>
      <c r="EL67" s="1427"/>
      <c r="EM67" s="1427"/>
      <c r="EN67" s="1427"/>
      <c r="EO67" s="1427"/>
      <c r="EP67" s="1427"/>
      <c r="EQ67" s="1427"/>
      <c r="ER67" s="1427"/>
      <c r="ES67" s="1427"/>
      <c r="ET67" s="1427"/>
      <c r="EU67" s="1427"/>
      <c r="EV67" s="1427"/>
      <c r="EW67" s="1427"/>
      <c r="EX67" s="1427"/>
      <c r="EY67" s="1427"/>
      <c r="EZ67" s="1427"/>
      <c r="FA67" s="1427"/>
      <c r="FB67" s="1427"/>
      <c r="FC67" s="1427"/>
      <c r="FD67" s="1427"/>
      <c r="FE67" s="1427"/>
      <c r="FF67" s="1427"/>
      <c r="FG67" s="1427"/>
      <c r="FH67" s="1427"/>
      <c r="FI67" s="1427"/>
      <c r="FJ67" s="1427"/>
      <c r="FK67" s="1427"/>
      <c r="FL67" s="1427"/>
      <c r="FM67" s="1427"/>
      <c r="FN67" s="1427"/>
      <c r="FO67" s="1427"/>
      <c r="FP67" s="1427"/>
      <c r="FQ67" s="1427"/>
    </row>
    <row r="68" spans="1:173" s="1426" customFormat="1" ht="21.95" customHeight="1">
      <c r="A68" s="1443" t="str">
        <f>[10]points!B82</f>
        <v/>
      </c>
      <c r="B68" s="1442" t="str">
        <f>IF(A68="","",VLOOKUP(A68,[10]liste!AN:AQ,4,FALSE))</f>
        <v/>
      </c>
      <c r="C68" s="1441"/>
      <c r="D68" s="1441"/>
      <c r="E68" s="1441"/>
      <c r="F68" s="1441"/>
      <c r="G68" s="1441"/>
      <c r="H68" s="1441"/>
      <c r="I68" s="1441"/>
      <c r="J68" s="1441"/>
      <c r="K68" s="1441"/>
      <c r="L68" s="1441"/>
      <c r="M68" s="1441"/>
      <c r="N68" s="1441"/>
      <c r="O68" s="1441"/>
      <c r="P68" s="1441"/>
      <c r="Q68" s="1441"/>
      <c r="R68" s="1441"/>
      <c r="S68" s="1441"/>
      <c r="T68" s="1441"/>
      <c r="U68" s="1441"/>
      <c r="V68" s="1441"/>
      <c r="W68" s="1441"/>
      <c r="X68" s="1441"/>
      <c r="Y68" s="1441"/>
      <c r="Z68" s="1441"/>
      <c r="AA68" s="1441"/>
      <c r="AB68" s="1441"/>
      <c r="AC68" s="1441"/>
      <c r="AD68" s="1441"/>
      <c r="AE68" s="1440" t="str">
        <f>IF(B68="","",COUNTA(Q68:AD68))</f>
        <v/>
      </c>
      <c r="AF68" s="1439">
        <f>SUM(Q68:W68)</f>
        <v>0</v>
      </c>
      <c r="AG68" s="1439">
        <f>SUM(CQ68:CW68)</f>
        <v>0</v>
      </c>
      <c r="AH68" s="1438" t="str">
        <f>IF(AG68=0,"X",AF68/AG68)</f>
        <v>X</v>
      </c>
      <c r="AI68" s="1439">
        <f>SUM(X68:AD68)</f>
        <v>0</v>
      </c>
      <c r="AJ68" s="1439">
        <f>SUM(CX68:DD68)</f>
        <v>0</v>
      </c>
      <c r="AK68" s="1438" t="str">
        <f>IF(AJ68=0,"X",AI68/AJ68)</f>
        <v>X</v>
      </c>
      <c r="AL68" s="1439">
        <f>SUM(Q68:AD68)</f>
        <v>0</v>
      </c>
      <c r="AM68" s="1439">
        <f>SUM(CQ68:DD68)</f>
        <v>0</v>
      </c>
      <c r="AN68" s="1438" t="str">
        <f>IF(CQ68+CR68+CS68+CT68+CU68+CV68+CW68+CX68+CY68+CZ68+DA68+DB68+DC68+DD68=0,"",MINVERSE(CQ68+CR68+CS68+CT68+CU68+CV68+CW68+CX68+CY68+CZ68+DA68+DB68+DC68+DD68)*AL68)</f>
        <v/>
      </c>
      <c r="AO68" s="1437">
        <f ca="1">IF(B68="",10,B68+RAND()*0.01)</f>
        <v>10</v>
      </c>
      <c r="AP68" s="1437" t="str">
        <f ca="1">IF(AND(C68="",J68=""),"e",IF(J68="",IF($BD$1&lt;=7,C68+RAND()*0.01,"e"),J68+RAND()*0.01))</f>
        <v>e</v>
      </c>
      <c r="AQ68" s="1437" t="str">
        <f ca="1">IF(AND(D68="",K68=""),"e",IF(K68="",IF($BD$1&lt;=7,D68+RAND()*0.01,"e"),K68+RAND()*0.01))</f>
        <v>e</v>
      </c>
      <c r="AR68" s="1437" t="str">
        <f ca="1">IF(AND(E68="",L68=""),"e",IF(L68="",IF($BD$1&lt;=7,E68+RAND()*0.01,"e"),L68+RAND()*0.01))</f>
        <v>e</v>
      </c>
      <c r="AS68" s="1437" t="str">
        <f ca="1">IF(AND(F68="",M68=""),"e",IF(M68="",IF($BD$1&lt;=7,F68+RAND()*0.01,"e"),M68+RAND()*0.01))</f>
        <v>e</v>
      </c>
      <c r="AT68" s="1437" t="str">
        <f ca="1">IF(AND(G68="",N68=""),"e",IF(N68="",IF($BD$1&lt;=7,G68+RAND()*0.01,"e"),N68+RAND()*0.01))</f>
        <v>e</v>
      </c>
      <c r="AU68" s="1437" t="str">
        <f ca="1">IF(AND(H68="",O68=""),"e",IF(O68="",IF($BD$1&lt;=7,H68+RAND()*0.01,"e"),O68+RAND()*0.01))</f>
        <v>e</v>
      </c>
      <c r="AV68" s="1437" t="str">
        <f ca="1">IF(AND(I68="",P68=""),"e",IF(P68="",IF($BD$1&lt;=7,I68+RAND()*0.01,"e"),P68+RAND()*0.01))</f>
        <v>e</v>
      </c>
      <c r="AW68" s="1437"/>
      <c r="AX68" s="1436" t="str">
        <f>A68</f>
        <v/>
      </c>
      <c r="AY68" s="1580" t="str">
        <f>IF(OR($H$2&gt;0,$H$3&gt;0,$H$4&gt;0,$H$5&gt;0,$H$6&gt;0,$H$7&gt;0,$H$8&gt;0,$H$2&gt;0),"",IF(COUNTIF(C68:H68,"")&gt;=5,"",IF(COUNTIF(C68:H68,SMALL(C68:H68,1))&gt;=2,SMALL(C68:H68,1),SMALL(C68:H68,2))))</f>
        <v/>
      </c>
      <c r="AZ68" s="1581" t="str">
        <f>IF(COUNTIF(J68:O68,"")&gt;=5,"",IF(COUNTIF(J68:O68,SMALL(J68:O68,1))&gt;=2,SMALL(J68:O68,1),SMALL(J68:O68,2)))</f>
        <v/>
      </c>
      <c r="BA68" s="1401"/>
      <c r="BB68" s="1401"/>
      <c r="BC68" s="1401"/>
      <c r="BD68" s="1435"/>
      <c r="BE68" s="1401"/>
      <c r="BF68" s="1401"/>
      <c r="BG68" s="1401"/>
      <c r="BH68" s="1401"/>
      <c r="BI68" s="1401"/>
      <c r="BJ68" s="1401"/>
      <c r="BK68" s="1401"/>
      <c r="BL68" s="1401"/>
      <c r="BM68" s="1401"/>
      <c r="BN68" s="1435"/>
      <c r="BO68" s="1401"/>
      <c r="BP68" s="1401"/>
      <c r="BQ68" s="1401"/>
      <c r="BR68" s="1401"/>
      <c r="BS68" s="1401"/>
      <c r="BT68" s="1401"/>
      <c r="BU68" s="1434"/>
      <c r="BV68" s="1401"/>
      <c r="BW68" s="1401"/>
      <c r="BX68" s="1401"/>
      <c r="BY68" s="561">
        <f ca="1">IF($BD$1&lt;=7,COUNTIF($C68:$I68,"1")+RAND()*0.0001,COUNTIF($J68:$P68,"1")+RAND()*0.0001)</f>
        <v>7.9439573700249575E-5</v>
      </c>
      <c r="BZ68" s="561" t="str">
        <f ca="1">IF(BY68&lt;1,"",AX68)</f>
        <v/>
      </c>
      <c r="CA68" s="561">
        <f ca="1">IF($BD$1&lt;=7,COUNTIF($C68:$I68,"2")+RAND()*0.0001,COUNTIF($J68:$P68,"2")+RAND()*0.0001)</f>
        <v>3.4679518377045618E-5</v>
      </c>
      <c r="CB68" s="561" t="str">
        <f ca="1">IF(CA68&lt;1,"",AX68)</f>
        <v/>
      </c>
      <c r="CC68" s="561">
        <f ca="1">IF($BD$1&lt;=7,COUNTIF($C68:$I68,"3")+RAND()*0.0001,COUNTIF($J68:$P68,"3")+RAND()*0.0001)</f>
        <v>7.1203953272589881E-6</v>
      </c>
      <c r="CD68" s="561" t="str">
        <f ca="1">IF(CC68&lt;1,"",AX68)</f>
        <v/>
      </c>
      <c r="CE68" s="561">
        <f ca="1">IF($BD$1&lt;=7,COUNTIF($C68:$I68,"4")+RAND()*0.0001,COUNTIF($J68:$P68,"4")+RAND()*0.0001)</f>
        <v>7.3602067133681648E-5</v>
      </c>
      <c r="CF68" s="561" t="str">
        <f ca="1">IF(CE68&lt;1,"",AX68)</f>
        <v/>
      </c>
      <c r="CG68" s="561">
        <f ca="1">IF($BD$1&lt;=7,COUNTIF($C68:$I68,"5")+RAND()*0.0001,COUNTIF($J68:$P68,"5")+RAND()*0.0001)</f>
        <v>5.2235074577776054E-5</v>
      </c>
      <c r="CH68" s="561" t="str">
        <f ca="1">IF(CG68&lt;1,"",AX68)</f>
        <v/>
      </c>
      <c r="CI68" s="561">
        <f ca="1">IF($BD$1&lt;=7,COUNTIF($C68:$I68,"6")+RAND()*0.0001,COUNTIF($J68:$P68,"6")+RAND()*0.0001)</f>
        <v>6.4294987325883422E-5</v>
      </c>
      <c r="CJ68" s="561" t="str">
        <f ca="1">IF(CI68&lt;1,"",AX68)</f>
        <v/>
      </c>
      <c r="CK68" s="561">
        <f ca="1">IF($BD$1&lt;=7,COUNTIF($C68:$I68,"7")+RAND()*0.0001,COUNTIF($J68:$P68,"7")+RAND()*0.0001)</f>
        <v>7.5242059907360725E-5</v>
      </c>
      <c r="CL68" s="561" t="str">
        <f ca="1">IF(CK68&lt;1,"",AX68)</f>
        <v/>
      </c>
      <c r="CM68" s="561">
        <f ca="1">IF($BD$1&lt;=7,COUNTIF($C68:$I68,"8")+RAND()*0.0001,COUNTIF($J68:$P68,"8")+RAND()*0.0001)</f>
        <v>7.2056268265043794E-5</v>
      </c>
      <c r="CN68" s="561" t="str">
        <f ca="1">IF(CM68&lt;1,"",AX68)</f>
        <v/>
      </c>
      <c r="CO68" s="1401"/>
      <c r="CP68" s="1401" t="e">
        <f ca="1">AE68+RAND()*0.01</f>
        <v>#VALUE!</v>
      </c>
      <c r="CQ68" s="1433">
        <f>VLOOKUP(C68,$CO$2:$DF$11,18,FALSE)</f>
        <v>0</v>
      </c>
      <c r="CR68" s="1433">
        <f>VLOOKUP(D68,$CO$2:$DF$11,18,FALSE)</f>
        <v>0</v>
      </c>
      <c r="CS68" s="1433">
        <f>VLOOKUP(E68,$CO$2:$DF$11,18,FALSE)</f>
        <v>0</v>
      </c>
      <c r="CT68" s="1433">
        <f>VLOOKUP(F68,$CO$2:$DF$11,18,FALSE)</f>
        <v>0</v>
      </c>
      <c r="CU68" s="1433">
        <f>VLOOKUP(G68,$CO$2:$DF$11,18,FALSE)</f>
        <v>0</v>
      </c>
      <c r="CV68" s="1433">
        <f>VLOOKUP(H68,$CO$2:$DF$11,18,FALSE)</f>
        <v>0</v>
      </c>
      <c r="CW68" s="1433">
        <f>VLOOKUP(I68,$CO$2:$DF$11,18,FALSE)</f>
        <v>0</v>
      </c>
      <c r="CX68" s="1433">
        <f>VLOOKUP(J68,$CO$2:$DF$11,18,FALSE)</f>
        <v>0</v>
      </c>
      <c r="CY68" s="1433">
        <f>VLOOKUP(K68,$CO$2:$DF$11,18,FALSE)</f>
        <v>0</v>
      </c>
      <c r="CZ68" s="1433">
        <f>VLOOKUP(L68,$CO$2:$DF$11,18,FALSE)</f>
        <v>0</v>
      </c>
      <c r="DA68" s="1433">
        <f>VLOOKUP(M68,$CO$2:$DF$11,18,FALSE)</f>
        <v>0</v>
      </c>
      <c r="DB68" s="1433">
        <f>VLOOKUP(N68,$CO$2:$DF$11,18,FALSE)</f>
        <v>0</v>
      </c>
      <c r="DC68" s="1433">
        <f>VLOOKUP(O68,$CO$2:$DF$11,18,FALSE)</f>
        <v>0</v>
      </c>
      <c r="DD68" s="1433">
        <f>VLOOKUP(P68,$CO$2:$DF$11,18,FALSE)</f>
        <v>0</v>
      </c>
      <c r="DE68" s="1432">
        <f>IF(AND(DI68=0,A68=""),AL68,IF(DI68=0,AL68+VLOOKUP(AX68,[10]Critérium!$AC$49:$DE$100,81,FALSE),AL68+VLOOKUP(AX68,[10]Critérium!$B$6:$T$22,19,FALSE)+VLOOKUP(AX68,[10]Critérium!$AC$49:$DE$100,81,FALSE)))</f>
        <v>0</v>
      </c>
      <c r="DF68" s="1431"/>
      <c r="DG68" s="1429">
        <f>IF(AND(DI68=0,A68=""),AM68,IF(DI68=0,AM68+VLOOKUP(AX68,[10]Critérium!$AC$49:$DH$100,84,FALSE),AM68+VLOOKUP(AX68,[10]Critérium!$B$6:$V$22,21,FALSE)+VLOOKUP(AX68,[10]Critérium!$AC$49:$DH$100,84,FALSE)))</f>
        <v>0</v>
      </c>
      <c r="DH68" s="1430">
        <f ca="1">IF(DG68=0,0,(DE68/DG68+RAND()*0.0001))</f>
        <v>0</v>
      </c>
      <c r="DI68" s="1429">
        <f>VLOOKUP(AX68,[10]liste!AN:AR,5,FALSE)</f>
        <v>0</v>
      </c>
      <c r="DJ68" s="1427">
        <f ca="1">DG68+RAND()</f>
        <v>0.70318681156594554</v>
      </c>
      <c r="DK68" s="1427" t="str">
        <f>A68</f>
        <v/>
      </c>
      <c r="DL68" s="1427"/>
      <c r="DM68" s="1428">
        <f>HLOOKUP($DM$1,$C$1:$P$70,68,FALSE)</f>
        <v>0</v>
      </c>
      <c r="DN68" s="1428">
        <f>HLOOKUP($DN$1,$Q$1:$AD$70,68,FALSE)</f>
        <v>0</v>
      </c>
      <c r="DO68" s="1401"/>
      <c r="DP68" s="1401"/>
      <c r="DQ68" s="1401"/>
      <c r="DR68" s="1400">
        <f>IF(SUM(C68:P68)=0,0,(AE68*10/SUM(C68:P68)/2)*AE68/21)</f>
        <v>0</v>
      </c>
      <c r="DS68" s="1427"/>
      <c r="DT68" s="1427"/>
      <c r="DU68" s="1427"/>
      <c r="DV68" s="1427"/>
      <c r="DW68" s="1427"/>
      <c r="DX68" s="1427"/>
      <c r="DY68" s="1427"/>
      <c r="DZ68" s="1427"/>
      <c r="EA68" s="1427"/>
      <c r="EB68" s="1427"/>
      <c r="EC68" s="1427"/>
      <c r="ED68" s="1427"/>
      <c r="EE68" s="1427"/>
      <c r="EF68" s="1427"/>
      <c r="EG68" s="1427"/>
      <c r="EH68" s="1427"/>
      <c r="EI68" s="1427"/>
      <c r="EJ68" s="1427"/>
      <c r="EK68" s="1427"/>
      <c r="EL68" s="1427"/>
      <c r="EM68" s="1427"/>
      <c r="EN68" s="1427"/>
      <c r="EO68" s="1427"/>
      <c r="EP68" s="1427"/>
      <c r="EQ68" s="1427"/>
      <c r="ER68" s="1427"/>
      <c r="ES68" s="1427"/>
      <c r="ET68" s="1427"/>
      <c r="EU68" s="1427"/>
      <c r="EV68" s="1427"/>
      <c r="EW68" s="1427"/>
      <c r="EX68" s="1427"/>
      <c r="EY68" s="1427"/>
      <c r="EZ68" s="1427"/>
      <c r="FA68" s="1427"/>
      <c r="FB68" s="1427"/>
      <c r="FC68" s="1427"/>
      <c r="FD68" s="1427"/>
      <c r="FE68" s="1427"/>
      <c r="FF68" s="1427"/>
      <c r="FG68" s="1427"/>
      <c r="FH68" s="1427"/>
      <c r="FI68" s="1427"/>
      <c r="FJ68" s="1427"/>
      <c r="FK68" s="1427"/>
      <c r="FL68" s="1427"/>
      <c r="FM68" s="1427"/>
      <c r="FN68" s="1427"/>
      <c r="FO68" s="1427"/>
      <c r="FP68" s="1427"/>
      <c r="FQ68" s="1427"/>
    </row>
    <row r="69" spans="1:173" s="1426" customFormat="1" ht="21.95" customHeight="1">
      <c r="A69" s="1443" t="str">
        <f>[10]points!B83</f>
        <v/>
      </c>
      <c r="B69" s="1442" t="str">
        <f>IF(A69="","",VLOOKUP(A69,[10]liste!AN:AQ,4,FALSE))</f>
        <v/>
      </c>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0" t="str">
        <f>IF(B69="","",COUNTA(Q69:AD69))</f>
        <v/>
      </c>
      <c r="AF69" s="1439">
        <f>SUM(Q69:W69)</f>
        <v>0</v>
      </c>
      <c r="AG69" s="1439">
        <f>SUM(CQ69:CW69)</f>
        <v>0</v>
      </c>
      <c r="AH69" s="1438" t="str">
        <f>IF(AG69=0,"X",AF69/AG69)</f>
        <v>X</v>
      </c>
      <c r="AI69" s="1439">
        <f>SUM(X69:AD69)</f>
        <v>0</v>
      </c>
      <c r="AJ69" s="1439">
        <f>SUM(CX69:DD69)</f>
        <v>0</v>
      </c>
      <c r="AK69" s="1438" t="str">
        <f>IF(AJ69=0,"X",AI69/AJ69)</f>
        <v>X</v>
      </c>
      <c r="AL69" s="1439">
        <f>SUM(Q69:AD69)</f>
        <v>0</v>
      </c>
      <c r="AM69" s="1439">
        <f>SUM(CQ69:DD69)</f>
        <v>0</v>
      </c>
      <c r="AN69" s="1438" t="str">
        <f>IF(CQ69+CR69+CS69+CT69+CU69+CV69+CW69+CX69+CY69+CZ69+DA69+DB69+DC69+DD69=0,"",MINVERSE(CQ69+CR69+CS69+CT69+CU69+CV69+CW69+CX69+CY69+CZ69+DA69+DB69+DC69+DD69)*AL69)</f>
        <v/>
      </c>
      <c r="AO69" s="1437">
        <f ca="1">IF(B69="",10,B69+RAND()*0.01)</f>
        <v>10</v>
      </c>
      <c r="AP69" s="1437" t="str">
        <f ca="1">IF(AND(C69="",J69=""),"e",IF(J69="",IF($BD$1&lt;=7,C69+RAND()*0.01,"e"),J69+RAND()*0.01))</f>
        <v>e</v>
      </c>
      <c r="AQ69" s="1437" t="str">
        <f ca="1">IF(AND(D69="",K69=""),"e",IF(K69="",IF($BD$1&lt;=7,D69+RAND()*0.01,"e"),K69+RAND()*0.01))</f>
        <v>e</v>
      </c>
      <c r="AR69" s="1437" t="str">
        <f ca="1">IF(AND(E69="",L69=""),"e",IF(L69="",IF($BD$1&lt;=7,E69+RAND()*0.01,"e"),L69+RAND()*0.01))</f>
        <v>e</v>
      </c>
      <c r="AS69" s="1437" t="str">
        <f ca="1">IF(AND(F69="",M69=""),"e",IF(M69="",IF($BD$1&lt;=7,F69+RAND()*0.01,"e"),M69+RAND()*0.01))</f>
        <v>e</v>
      </c>
      <c r="AT69" s="1437" t="str">
        <f ca="1">IF(AND(G69="",N69=""),"e",IF(N69="",IF($BD$1&lt;=7,G69+RAND()*0.01,"e"),N69+RAND()*0.01))</f>
        <v>e</v>
      </c>
      <c r="AU69" s="1437" t="str">
        <f ca="1">IF(AND(H69="",O69=""),"e",IF(O69="",IF($BD$1&lt;=7,H69+RAND()*0.01,"e"),O69+RAND()*0.01))</f>
        <v>e</v>
      </c>
      <c r="AV69" s="1437" t="str">
        <f ca="1">IF(AND(I69="",P69=""),"e",IF(P69="",IF($BD$1&lt;=7,I69+RAND()*0.01,"e"),P69+RAND()*0.01))</f>
        <v>e</v>
      </c>
      <c r="AW69" s="1437"/>
      <c r="AX69" s="1436" t="str">
        <f>A69</f>
        <v/>
      </c>
      <c r="AY69" s="1580" t="str">
        <f>IF(OR($H$2&gt;0,$H$3&gt;0,$H$4&gt;0,$H$5&gt;0,$H$6&gt;0,$H$7&gt;0,$H$8&gt;0,$H$2&gt;0),"",IF(COUNTIF(C69:H69,"")&gt;=5,"",IF(COUNTIF(C69:H69,SMALL(C69:H69,1))&gt;=2,SMALL(C69:H69,1),SMALL(C69:H69,2))))</f>
        <v/>
      </c>
      <c r="AZ69" s="1581" t="str">
        <f>IF(COUNTIF(J69:O69,"")&gt;=5,"",IF(COUNTIF(J69:O69,SMALL(J69:O69,1))&gt;=2,SMALL(J69:O69,1),SMALL(J69:O69,2)))</f>
        <v/>
      </c>
      <c r="BA69" s="1401"/>
      <c r="BB69" s="1401"/>
      <c r="BC69" s="1401"/>
      <c r="BD69" s="1435"/>
      <c r="BE69" s="1401"/>
      <c r="BF69" s="1401"/>
      <c r="BG69" s="1401"/>
      <c r="BH69" s="1401"/>
      <c r="BI69" s="1401"/>
      <c r="BJ69" s="1401"/>
      <c r="BK69" s="1401"/>
      <c r="BL69" s="1401"/>
      <c r="BM69" s="1401"/>
      <c r="BN69" s="1435"/>
      <c r="BO69" s="1401"/>
      <c r="BP69" s="1401"/>
      <c r="BQ69" s="1401"/>
      <c r="BR69" s="1401"/>
      <c r="BS69" s="1401"/>
      <c r="BT69" s="1401"/>
      <c r="BU69" s="1434"/>
      <c r="BV69" s="1401"/>
      <c r="BW69" s="1401"/>
      <c r="BX69" s="1401"/>
      <c r="BY69" s="561">
        <f ca="1">IF($BD$1&lt;=7,COUNTIF($C69:$I69,"1")+RAND()*0.0001,COUNTIF($J69:$P69,"1")+RAND()*0.0001)</f>
        <v>4.0715512207489414E-5</v>
      </c>
      <c r="BZ69" s="561" t="str">
        <f ca="1">IF(BY69&lt;1,"",AX69)</f>
        <v/>
      </c>
      <c r="CA69" s="561">
        <f ca="1">IF($BD$1&lt;=7,COUNTIF($C69:$I69,"2")+RAND()*0.0001,COUNTIF($J69:$P69,"2")+RAND()*0.0001)</f>
        <v>2.1726936683896028E-6</v>
      </c>
      <c r="CB69" s="561" t="str">
        <f ca="1">IF(CA69&lt;1,"",AX69)</f>
        <v/>
      </c>
      <c r="CC69" s="561">
        <f ca="1">IF($BD$1&lt;=7,COUNTIF($C69:$I69,"3")+RAND()*0.0001,COUNTIF($J69:$P69,"3")+RAND()*0.0001)</f>
        <v>6.6888076895058003E-5</v>
      </c>
      <c r="CD69" s="561" t="str">
        <f ca="1">IF(CC69&lt;1,"",AX69)</f>
        <v/>
      </c>
      <c r="CE69" s="561">
        <f ca="1">IF($BD$1&lt;=7,COUNTIF($C69:$I69,"4")+RAND()*0.0001,COUNTIF($J69:$P69,"4")+RAND()*0.0001)</f>
        <v>7.2852511848565234E-6</v>
      </c>
      <c r="CF69" s="561" t="str">
        <f ca="1">IF(CE69&lt;1,"",AX69)</f>
        <v/>
      </c>
      <c r="CG69" s="561">
        <f ca="1">IF($BD$1&lt;=7,COUNTIF($C69:$I69,"5")+RAND()*0.0001,COUNTIF($J69:$P69,"5")+RAND()*0.0001)</f>
        <v>7.2406957227099856E-5</v>
      </c>
      <c r="CH69" s="561" t="str">
        <f ca="1">IF(CG69&lt;1,"",AX69)</f>
        <v/>
      </c>
      <c r="CI69" s="561">
        <f ca="1">IF($BD$1&lt;=7,COUNTIF($C69:$I69,"6")+RAND()*0.0001,COUNTIF($J69:$P69,"6")+RAND()*0.0001)</f>
        <v>5.2222457178541026E-5</v>
      </c>
      <c r="CJ69" s="561" t="str">
        <f ca="1">IF(CI69&lt;1,"",AX69)</f>
        <v/>
      </c>
      <c r="CK69" s="561">
        <f ca="1">IF($BD$1&lt;=7,COUNTIF($C69:$I69,"7")+RAND()*0.0001,COUNTIF($J69:$P69,"7")+RAND()*0.0001)</f>
        <v>7.031056100543721E-5</v>
      </c>
      <c r="CL69" s="561" t="str">
        <f ca="1">IF(CK69&lt;1,"",AX69)</f>
        <v/>
      </c>
      <c r="CM69" s="561">
        <f ca="1">IF($BD$1&lt;=7,COUNTIF($C69:$I69,"8")+RAND()*0.0001,COUNTIF($J69:$P69,"8")+RAND()*0.0001)</f>
        <v>8.0281066410345741E-5</v>
      </c>
      <c r="CN69" s="561" t="str">
        <f ca="1">IF(CM69&lt;1,"",AX69)</f>
        <v/>
      </c>
      <c r="CO69" s="1401"/>
      <c r="CP69" s="1401" t="e">
        <f ca="1">AE69+RAND()*0.01</f>
        <v>#VALUE!</v>
      </c>
      <c r="CQ69" s="1433">
        <f>VLOOKUP(C69,$CO$2:$DF$11,18,FALSE)</f>
        <v>0</v>
      </c>
      <c r="CR69" s="1433">
        <f>VLOOKUP(D69,$CO$2:$DF$11,18,FALSE)</f>
        <v>0</v>
      </c>
      <c r="CS69" s="1433">
        <f>VLOOKUP(E69,$CO$2:$DF$11,18,FALSE)</f>
        <v>0</v>
      </c>
      <c r="CT69" s="1433">
        <f>VLOOKUP(F69,$CO$2:$DF$11,18,FALSE)</f>
        <v>0</v>
      </c>
      <c r="CU69" s="1433">
        <f>VLOOKUP(G69,$CO$2:$DF$11,18,FALSE)</f>
        <v>0</v>
      </c>
      <c r="CV69" s="1433">
        <f>VLOOKUP(H69,$CO$2:$DF$11,18,FALSE)</f>
        <v>0</v>
      </c>
      <c r="CW69" s="1433">
        <f>VLOOKUP(I69,$CO$2:$DF$11,18,FALSE)</f>
        <v>0</v>
      </c>
      <c r="CX69" s="1433">
        <f>VLOOKUP(J69,$CO$2:$DF$11,18,FALSE)</f>
        <v>0</v>
      </c>
      <c r="CY69" s="1433">
        <f>VLOOKUP(K69,$CO$2:$DF$11,18,FALSE)</f>
        <v>0</v>
      </c>
      <c r="CZ69" s="1433">
        <f>VLOOKUP(L69,$CO$2:$DF$11,18,FALSE)</f>
        <v>0</v>
      </c>
      <c r="DA69" s="1433">
        <f>VLOOKUP(M69,$CO$2:$DF$11,18,FALSE)</f>
        <v>0</v>
      </c>
      <c r="DB69" s="1433">
        <f>VLOOKUP(N69,$CO$2:$DF$11,18,FALSE)</f>
        <v>0</v>
      </c>
      <c r="DC69" s="1433">
        <f>VLOOKUP(O69,$CO$2:$DF$11,18,FALSE)</f>
        <v>0</v>
      </c>
      <c r="DD69" s="1433">
        <f>VLOOKUP(P69,$CO$2:$DF$11,18,FALSE)</f>
        <v>0</v>
      </c>
      <c r="DE69" s="1432">
        <f>IF(AND(DI69=0,A69=""),AL69,IF(DI69=0,AL69+VLOOKUP(AX69,[10]Critérium!$AC$49:$DE$100,81,FALSE),AL69+VLOOKUP(AX69,[10]Critérium!$B$6:$T$22,19,FALSE)+VLOOKUP(AX69,[10]Critérium!$AC$49:$DE$100,81,FALSE)))</f>
        <v>0</v>
      </c>
      <c r="DF69" s="1431"/>
      <c r="DG69" s="1429">
        <f>IF(AND(DI69=0,A69=""),AM69,IF(DI69=0,AM69+VLOOKUP(AX69,[10]Critérium!$AC$49:$DH$100,84,FALSE),AM69+VLOOKUP(AX69,[10]Critérium!$B$6:$V$22,21,FALSE)+VLOOKUP(AX69,[10]Critérium!$AC$49:$DH$100,84,FALSE)))</f>
        <v>0</v>
      </c>
      <c r="DH69" s="1430">
        <f ca="1">IF(DG69=0,0,(DE69/DG69+RAND()*0.0001))</f>
        <v>0</v>
      </c>
      <c r="DI69" s="1429">
        <f>VLOOKUP(AX69,[10]liste!AN:AR,5,FALSE)</f>
        <v>0</v>
      </c>
      <c r="DJ69" s="1427">
        <f ca="1">DG69+RAND()</f>
        <v>0.4849162176771914</v>
      </c>
      <c r="DK69" s="1427" t="str">
        <f>A69</f>
        <v/>
      </c>
      <c r="DL69" s="1427"/>
      <c r="DM69" s="1428">
        <f>HLOOKUP($DM$1,$C$1:$P$70,69,FALSE)</f>
        <v>0</v>
      </c>
      <c r="DN69" s="1428">
        <f>HLOOKUP($DN$1,$Q$1:$AD$70,69,FALSE)</f>
        <v>0</v>
      </c>
      <c r="DO69" s="1401"/>
      <c r="DP69" s="1401"/>
      <c r="DQ69" s="1401"/>
      <c r="DR69" s="1400">
        <f>IF(SUM(C69:P69)=0,0,(AE69*10/SUM(C69:P69)/2)*AE69/21)</f>
        <v>0</v>
      </c>
      <c r="DS69" s="1427"/>
      <c r="DT69" s="1427"/>
      <c r="DU69" s="1427"/>
      <c r="DV69" s="1427"/>
      <c r="DW69" s="1427"/>
      <c r="DX69" s="1427"/>
      <c r="DY69" s="1427"/>
      <c r="DZ69" s="1427"/>
      <c r="EA69" s="1427"/>
      <c r="EB69" s="1427"/>
      <c r="EC69" s="1427"/>
      <c r="ED69" s="1427"/>
      <c r="EE69" s="1427"/>
      <c r="EF69" s="1427"/>
      <c r="EG69" s="1427"/>
      <c r="EH69" s="1427"/>
      <c r="EI69" s="1427"/>
      <c r="EJ69" s="1427"/>
      <c r="EK69" s="1427"/>
      <c r="EL69" s="1427"/>
      <c r="EM69" s="1427"/>
      <c r="EN69" s="1427"/>
      <c r="EO69" s="1427"/>
      <c r="EP69" s="1427"/>
      <c r="EQ69" s="1427"/>
      <c r="ER69" s="1427"/>
      <c r="ES69" s="1427"/>
      <c r="ET69" s="1427"/>
      <c r="EU69" s="1427"/>
      <c r="EV69" s="1427"/>
      <c r="EW69" s="1427"/>
      <c r="EX69" s="1427"/>
      <c r="EY69" s="1427"/>
      <c r="EZ69" s="1427"/>
      <c r="FA69" s="1427"/>
      <c r="FB69" s="1427"/>
      <c r="FC69" s="1427"/>
      <c r="FD69" s="1427"/>
      <c r="FE69" s="1427"/>
      <c r="FF69" s="1427"/>
      <c r="FG69" s="1427"/>
      <c r="FH69" s="1427"/>
      <c r="FI69" s="1427"/>
      <c r="FJ69" s="1427"/>
      <c r="FK69" s="1427"/>
      <c r="FL69" s="1427"/>
      <c r="FM69" s="1427"/>
      <c r="FN69" s="1427"/>
      <c r="FO69" s="1427"/>
      <c r="FP69" s="1427"/>
      <c r="FQ69" s="1427"/>
    </row>
    <row r="70" spans="1:173" s="1426" customFormat="1" ht="21.95" customHeight="1">
      <c r="A70" s="1443" t="str">
        <f>[10]points!B84</f>
        <v/>
      </c>
      <c r="B70" s="1442" t="str">
        <f>IF(A70="","",VLOOKUP(A70,[10]liste!AN:AQ,4,FALSE))</f>
        <v/>
      </c>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0" t="str">
        <f>IF(B70="","",COUNTA(Q70:AD70))</f>
        <v/>
      </c>
      <c r="AF70" s="1439">
        <f>SUM(Q70:W70)</f>
        <v>0</v>
      </c>
      <c r="AG70" s="1439">
        <f>SUM(CQ70:CW70)</f>
        <v>0</v>
      </c>
      <c r="AH70" s="1438" t="str">
        <f>IF(AG70=0,"X",AF70/AG70)</f>
        <v>X</v>
      </c>
      <c r="AI70" s="1439">
        <f>SUM(X70:AD70)</f>
        <v>0</v>
      </c>
      <c r="AJ70" s="1439">
        <f>SUM(CX70:DD70)</f>
        <v>0</v>
      </c>
      <c r="AK70" s="1438" t="str">
        <f>IF(AJ70=0,"X",AI70/AJ70)</f>
        <v>X</v>
      </c>
      <c r="AL70" s="1439">
        <f>SUM(Q70:AD70)</f>
        <v>0</v>
      </c>
      <c r="AM70" s="1439">
        <f>SUM(CQ70:DD70)</f>
        <v>0</v>
      </c>
      <c r="AN70" s="1438" t="str">
        <f>IF(CQ70+CR70+CS70+CT70+CU70+CV70+CW70+CX70+CY70+CZ70+DA70+DB70+DC70+DD70=0,"",MINVERSE(CQ70+CR70+CS70+CT70+CU70+CV70+CW70+CX70+CY70+CZ70+DA70+DB70+DC70+DD70)*AL70)</f>
        <v/>
      </c>
      <c r="AO70" s="1437">
        <f ca="1">IF(B70="",10,B70+RAND()*0.01)</f>
        <v>10</v>
      </c>
      <c r="AP70" s="1437" t="str">
        <f ca="1">IF(AND(C70="",J70=""),"e",IF(J70="",IF($BD$1&lt;=7,C70+RAND()*0.01,"e"),J70+RAND()*0.01))</f>
        <v>e</v>
      </c>
      <c r="AQ70" s="1437" t="str">
        <f ca="1">IF(AND(D70="",K70=""),"e",IF(K70="",IF($BD$1&lt;=7,D70+RAND()*0.01,"e"),K70+RAND()*0.01))</f>
        <v>e</v>
      </c>
      <c r="AR70" s="1437" t="str">
        <f ca="1">IF(AND(E70="",L70=""),"e",IF(L70="",IF($BD$1&lt;=7,E70+RAND()*0.01,"e"),L70+RAND()*0.01))</f>
        <v>e</v>
      </c>
      <c r="AS70" s="1437" t="str">
        <f ca="1">IF(AND(F70="",M70=""),"e",IF(M70="",IF($BD$1&lt;=7,F70+RAND()*0.01,"e"),M70+RAND()*0.01))</f>
        <v>e</v>
      </c>
      <c r="AT70" s="1437" t="str">
        <f ca="1">IF(AND(G70="",N70=""),"e",IF(N70="",IF($BD$1&lt;=7,G70+RAND()*0.01,"e"),N70+RAND()*0.01))</f>
        <v>e</v>
      </c>
      <c r="AU70" s="1437" t="str">
        <f ca="1">IF(AND(H70="",O70=""),"e",IF(O70="",IF($BD$1&lt;=7,H70+RAND()*0.01,"e"),O70+RAND()*0.01))</f>
        <v>e</v>
      </c>
      <c r="AV70" s="1437" t="str">
        <f ca="1">IF(AND(I70="",P70=""),"e",IF(P70="",IF($BD$1&lt;=7,I70+RAND()*0.01,"e"),P70+RAND()*0.01))</f>
        <v>e</v>
      </c>
      <c r="AW70" s="1437"/>
      <c r="AX70" s="1436" t="str">
        <f>A70</f>
        <v/>
      </c>
      <c r="AY70" s="1580" t="str">
        <f>IF(OR($H$2&gt;0,$H$3&gt;0,$H$4&gt;0,$H$5&gt;0,$H$6&gt;0,$H$7&gt;0,$H$8&gt;0,$H$2&gt;0),"",IF(COUNTIF(C70:H70,"")&gt;=5,"",IF(COUNTIF(C70:H70,SMALL(C70:H70,1))&gt;=2,SMALL(C70:H70,1),SMALL(C70:H70,2))))</f>
        <v/>
      </c>
      <c r="AZ70" s="1581" t="str">
        <f>IF(COUNTIF(J70:O70,"")&gt;=5,"",IF(COUNTIF(J70:O70,SMALL(J70:O70,1))&gt;=2,SMALL(J70:O70,1),SMALL(J70:O70,2)))</f>
        <v/>
      </c>
      <c r="BA70" s="1401"/>
      <c r="BB70" s="1401"/>
      <c r="BC70" s="1401"/>
      <c r="BD70" s="1435"/>
      <c r="BE70" s="1401"/>
      <c r="BF70" s="1401"/>
      <c r="BG70" s="1401"/>
      <c r="BH70" s="1401"/>
      <c r="BI70" s="1401"/>
      <c r="BJ70" s="1401"/>
      <c r="BK70" s="1401"/>
      <c r="BL70" s="1401"/>
      <c r="BM70" s="1401"/>
      <c r="BN70" s="1435"/>
      <c r="BO70" s="1401"/>
      <c r="BP70" s="1401"/>
      <c r="BQ70" s="1401"/>
      <c r="BR70" s="1401"/>
      <c r="BS70" s="1401"/>
      <c r="BT70" s="1401"/>
      <c r="BU70" s="1434"/>
      <c r="BV70" s="1401"/>
      <c r="BW70" s="1401"/>
      <c r="BX70" s="1401"/>
      <c r="BY70" s="561">
        <f ca="1">IF($BD$1&lt;=7,COUNTIF($C70:$I70,"1")+RAND()*0.0001,COUNTIF($J70:$P70,"1")+RAND()*0.0001)</f>
        <v>3.9993874294410315E-5</v>
      </c>
      <c r="BZ70" s="561" t="str">
        <f ca="1">IF(BY70&lt;1,"",AX70)</f>
        <v/>
      </c>
      <c r="CA70" s="561">
        <f ca="1">IF($BD$1&lt;=7,COUNTIF($C70:$I70,"2")+RAND()*0.0001,COUNTIF($J70:$P70,"2")+RAND()*0.0001)</f>
        <v>4.2110729133496461E-5</v>
      </c>
      <c r="CB70" s="561" t="str">
        <f ca="1">IF(CA70&lt;1,"",AX70)</f>
        <v/>
      </c>
      <c r="CC70" s="561">
        <f ca="1">IF($BD$1&lt;=7,COUNTIF($C70:$I70,"3")+RAND()*0.0001,COUNTIF($J70:$P70,"3")+RAND()*0.0001)</f>
        <v>3.9561577560173904E-5</v>
      </c>
      <c r="CD70" s="561" t="str">
        <f ca="1">IF(CC70&lt;1,"",AX70)</f>
        <v/>
      </c>
      <c r="CE70" s="561">
        <f ca="1">IF($BD$1&lt;=7,COUNTIF($C70:$I70,"4")+RAND()*0.0001,COUNTIF($J70:$P70,"4")+RAND()*0.0001)</f>
        <v>3.8403104920432929E-5</v>
      </c>
      <c r="CF70" s="561" t="str">
        <f ca="1">IF(CE70&lt;1,"",AX70)</f>
        <v/>
      </c>
      <c r="CG70" s="561">
        <f ca="1">IF($BD$1&lt;=7,COUNTIF($C70:$I70,"5")+RAND()*0.0001,COUNTIF($J70:$P70,"5")+RAND()*0.0001)</f>
        <v>6.5300918686540866E-6</v>
      </c>
      <c r="CH70" s="561" t="str">
        <f ca="1">IF(CG70&lt;1,"",AX70)</f>
        <v/>
      </c>
      <c r="CI70" s="561">
        <f ca="1">IF($BD$1&lt;=7,COUNTIF($C70:$I70,"6")+RAND()*0.0001,COUNTIF($J70:$P70,"6")+RAND()*0.0001)</f>
        <v>5.3658170500502233E-5</v>
      </c>
      <c r="CJ70" s="561" t="str">
        <f ca="1">IF(CI70&lt;1,"",AX70)</f>
        <v/>
      </c>
      <c r="CK70" s="561">
        <f ca="1">IF($BD$1&lt;=7,COUNTIF($C70:$I70,"7")+RAND()*0.0001,COUNTIF($J70:$P70,"7")+RAND()*0.0001)</f>
        <v>5.2004536590808793E-5</v>
      </c>
      <c r="CL70" s="561" t="str">
        <f ca="1">IF(CK70&lt;1,"",AX70)</f>
        <v/>
      </c>
      <c r="CM70" s="561">
        <f ca="1">IF($BD$1&lt;=7,COUNTIF($C70:$I70,"8")+RAND()*0.0001,COUNTIF($J70:$P70,"8")+RAND()*0.0001)</f>
        <v>2.3750827768108474E-5</v>
      </c>
      <c r="CN70" s="561" t="str">
        <f ca="1">IF(CM70&lt;1,"",AX70)</f>
        <v/>
      </c>
      <c r="CO70" s="1401"/>
      <c r="CP70" s="1401" t="e">
        <f ca="1">AE70+RAND()*0.01</f>
        <v>#VALUE!</v>
      </c>
      <c r="CQ70" s="1433">
        <f>VLOOKUP(C70,$CO$2:$DF$11,18,FALSE)</f>
        <v>0</v>
      </c>
      <c r="CR70" s="1433">
        <f>VLOOKUP(D70,$CO$2:$DF$11,18,FALSE)</f>
        <v>0</v>
      </c>
      <c r="CS70" s="1433">
        <f>VLOOKUP(E70,$CO$2:$DF$11,18,FALSE)</f>
        <v>0</v>
      </c>
      <c r="CT70" s="1433">
        <f>VLOOKUP(F70,$CO$2:$DF$11,18,FALSE)</f>
        <v>0</v>
      </c>
      <c r="CU70" s="1433">
        <f>VLOOKUP(G70,$CO$2:$DF$11,18,FALSE)</f>
        <v>0</v>
      </c>
      <c r="CV70" s="1433">
        <f>VLOOKUP(H70,$CO$2:$DF$11,18,FALSE)</f>
        <v>0</v>
      </c>
      <c r="CW70" s="1433">
        <f>VLOOKUP(I70,$CO$2:$DF$11,18,FALSE)</f>
        <v>0</v>
      </c>
      <c r="CX70" s="1433">
        <f>VLOOKUP(J70,$CO$2:$DF$11,18,FALSE)</f>
        <v>0</v>
      </c>
      <c r="CY70" s="1433">
        <f>VLOOKUP(K70,$CO$2:$DF$11,18,FALSE)</f>
        <v>0</v>
      </c>
      <c r="CZ70" s="1433">
        <f>VLOOKUP(L70,$CO$2:$DF$11,18,FALSE)</f>
        <v>0</v>
      </c>
      <c r="DA70" s="1433">
        <f>VLOOKUP(M70,$CO$2:$DF$11,18,FALSE)</f>
        <v>0</v>
      </c>
      <c r="DB70" s="1433">
        <f>VLOOKUP(N70,$CO$2:$DF$11,18,FALSE)</f>
        <v>0</v>
      </c>
      <c r="DC70" s="1433">
        <f>VLOOKUP(O70,$CO$2:$DF$11,18,FALSE)</f>
        <v>0</v>
      </c>
      <c r="DD70" s="1433">
        <f>VLOOKUP(P70,$CO$2:$DF$11,18,FALSE)</f>
        <v>0</v>
      </c>
      <c r="DE70" s="1432">
        <f>IF(AND(DI70=0,A70=""),AL70,IF(DI70=0,AL70+VLOOKUP(AX70,[10]Critérium!$AC$49:$DE$100,81,FALSE),AL70+VLOOKUP(AX70,[10]Critérium!$B$6:$T$22,19,FALSE)+VLOOKUP(AX70,[10]Critérium!$AC$49:$DE$100,81,FALSE)))</f>
        <v>0</v>
      </c>
      <c r="DF70" s="1431"/>
      <c r="DG70" s="1429">
        <f>IF(AND(DI70=0,A70=""),AM70,IF(DI70=0,AM70+VLOOKUP(AX70,[10]Critérium!$AC$49:$DH$100,84,FALSE),AM70+VLOOKUP(AX70,[10]Critérium!$B$6:$V$22,21,FALSE)+VLOOKUP(AX70,[10]Critérium!$AC$49:$DH$100,84,FALSE)))</f>
        <v>0</v>
      </c>
      <c r="DH70" s="1430">
        <f ca="1">IF(DG70=0,0,(DE70/DG70+RAND()*0.0001))</f>
        <v>0</v>
      </c>
      <c r="DI70" s="1429">
        <f>VLOOKUP(AX70,[10]liste!AN:AR,5,FALSE)</f>
        <v>0</v>
      </c>
      <c r="DJ70" s="1427">
        <f ca="1">DG70+RAND()</f>
        <v>0.16000236856520578</v>
      </c>
      <c r="DK70" s="1427" t="str">
        <f>A70</f>
        <v/>
      </c>
      <c r="DL70" s="1427"/>
      <c r="DM70" s="1428">
        <f>HLOOKUP($DM$1,$C$1:$P$70,70,FALSE)</f>
        <v>0</v>
      </c>
      <c r="DN70" s="1428">
        <f>HLOOKUP($DN$1,$Q$1:$AD$70,70,FALSE)</f>
        <v>0</v>
      </c>
      <c r="DO70" s="1401"/>
      <c r="DP70" s="1401"/>
      <c r="DQ70" s="1401"/>
      <c r="DR70" s="1400">
        <f>IF(SUM(C70:P70)=0,0,(AE70*10/SUM(C70:P70)/2)*AE70/21)</f>
        <v>0</v>
      </c>
      <c r="DS70" s="1427"/>
      <c r="DT70" s="1427"/>
      <c r="DU70" s="1427"/>
      <c r="DV70" s="1427"/>
      <c r="DW70" s="1427"/>
      <c r="DX70" s="1427"/>
      <c r="DY70" s="1427"/>
      <c r="DZ70" s="1427"/>
      <c r="EA70" s="1427"/>
      <c r="EB70" s="1427"/>
      <c r="EC70" s="1427"/>
      <c r="ED70" s="1427"/>
      <c r="EE70" s="1427"/>
      <c r="EF70" s="1427"/>
      <c r="EG70" s="1427"/>
      <c r="EH70" s="1427"/>
      <c r="EI70" s="1427"/>
      <c r="EJ70" s="1427"/>
      <c r="EK70" s="1427"/>
      <c r="EL70" s="1427"/>
      <c r="EM70" s="1427"/>
      <c r="EN70" s="1427"/>
      <c r="EO70" s="1427"/>
      <c r="EP70" s="1427"/>
      <c r="EQ70" s="1427"/>
      <c r="ER70" s="1427"/>
      <c r="ES70" s="1427"/>
      <c r="ET70" s="1427"/>
      <c r="EU70" s="1427"/>
      <c r="EV70" s="1427"/>
      <c r="EW70" s="1427"/>
      <c r="EX70" s="1427"/>
      <c r="EY70" s="1427"/>
      <c r="EZ70" s="1427"/>
      <c r="FA70" s="1427"/>
      <c r="FB70" s="1427"/>
      <c r="FC70" s="1427"/>
      <c r="FD70" s="1427"/>
      <c r="FE70" s="1427"/>
      <c r="FF70" s="1427"/>
      <c r="FG70" s="1427"/>
      <c r="FH70" s="1427"/>
      <c r="FI70" s="1427"/>
      <c r="FJ70" s="1427"/>
      <c r="FK70" s="1427"/>
      <c r="FL70" s="1427"/>
      <c r="FM70" s="1427"/>
      <c r="FN70" s="1427"/>
      <c r="FO70" s="1427"/>
      <c r="FP70" s="1427"/>
      <c r="FQ70" s="1427"/>
    </row>
    <row r="71" spans="1:173" ht="15.75">
      <c r="A71" s="1425" t="str">
        <f>[10]équipes!A20</f>
        <v>Muzillac TT 7</v>
      </c>
      <c r="C71" s="769"/>
      <c r="D71" s="769"/>
      <c r="E71" s="769"/>
      <c r="F71" s="769"/>
      <c r="G71" s="769"/>
      <c r="H71" s="769"/>
      <c r="I71" s="769"/>
      <c r="J71" s="769"/>
      <c r="K71" s="769"/>
      <c r="L71" s="769"/>
      <c r="M71" s="769"/>
      <c r="N71" s="769"/>
      <c r="O71" s="769"/>
      <c r="P71" s="769"/>
      <c r="Q71" s="769"/>
      <c r="R71" s="769"/>
      <c r="S71" s="769"/>
      <c r="T71" s="769"/>
      <c r="U71" s="769"/>
      <c r="V71" s="769"/>
      <c r="W71" s="769"/>
      <c r="X71" s="769"/>
      <c r="Y71" s="769"/>
      <c r="Z71" s="769"/>
      <c r="AA71" s="769"/>
      <c r="AB71" s="769"/>
      <c r="AC71" s="769"/>
      <c r="AD71" s="769"/>
      <c r="AF71" s="769"/>
      <c r="AG71" s="769"/>
      <c r="AH71" s="1413"/>
      <c r="AI71" s="769"/>
      <c r="AJ71" s="769"/>
      <c r="AK71" s="769"/>
      <c r="AL71" s="769"/>
      <c r="AM71" s="769"/>
      <c r="AN71" s="769"/>
      <c r="AO71" s="769"/>
      <c r="AP71" s="769"/>
      <c r="AQ71" s="769"/>
      <c r="AR71" s="769"/>
      <c r="AS71" s="769"/>
      <c r="AT71" s="769"/>
      <c r="AU71" s="769"/>
      <c r="AV71" s="769"/>
      <c r="AW71" s="769"/>
      <c r="AX71" s="769"/>
      <c r="AY71" s="1582"/>
      <c r="BA71" s="769"/>
      <c r="BB71" s="769"/>
      <c r="BC71" s="769"/>
      <c r="BD71" s="769"/>
      <c r="BE71" s="769"/>
      <c r="BF71" s="769"/>
      <c r="BG71" s="769"/>
      <c r="BH71" s="769"/>
      <c r="BI71" s="769"/>
      <c r="BJ71" s="769"/>
      <c r="BK71" s="769"/>
      <c r="BL71" s="769"/>
      <c r="BM71" s="769"/>
      <c r="BN71" s="769"/>
      <c r="BO71" s="769"/>
      <c r="BP71" s="769"/>
      <c r="BQ71" s="769"/>
      <c r="BR71" s="769"/>
      <c r="BS71" s="769"/>
      <c r="BT71" s="769"/>
      <c r="BU71" s="769"/>
      <c r="BV71" s="769"/>
      <c r="BW71" s="769"/>
      <c r="BX71" s="1415"/>
      <c r="BY71" s="1415"/>
      <c r="BZ71" s="1415"/>
      <c r="CA71" s="1415"/>
      <c r="CB71" s="1415"/>
      <c r="CC71" s="1415"/>
      <c r="CD71" s="1415"/>
      <c r="CE71" s="1415"/>
      <c r="CF71" s="1415"/>
      <c r="CG71" s="1415"/>
      <c r="CH71" s="1415"/>
      <c r="CI71" s="1415"/>
      <c r="CJ71" s="1415"/>
      <c r="CK71" s="1415"/>
      <c r="CL71" s="1415"/>
      <c r="CM71" s="1415"/>
      <c r="CN71" s="1415"/>
      <c r="CO71" s="1415"/>
      <c r="CP71" s="1415" t="e">
        <f ca="1">#REF!+RAND()*0.01</f>
        <v>#REF!</v>
      </c>
      <c r="DN71" s="769"/>
      <c r="DR71" s="1400">
        <f>IF(SUM(C71:P71)=0,0,(#REF!*10/SUM(C71:P71)/2)*#REF!/21)</f>
        <v>0</v>
      </c>
    </row>
    <row r="72" spans="1:173" ht="15.75">
      <c r="A72" s="1425" t="str">
        <f>[10]équipes!A25</f>
        <v>équipes jeunes:</v>
      </c>
      <c r="C72" s="769"/>
      <c r="D72" s="769"/>
      <c r="E72" s="769"/>
      <c r="F72" s="769"/>
      <c r="G72" s="769"/>
      <c r="H72" s="769"/>
      <c r="I72" s="769"/>
      <c r="J72" s="769"/>
      <c r="K72" s="769"/>
      <c r="L72" s="769"/>
      <c r="M72" s="769"/>
      <c r="N72" s="769"/>
      <c r="O72" s="769"/>
      <c r="P72" s="769"/>
      <c r="Q72" s="769"/>
      <c r="R72" s="769"/>
      <c r="S72" s="769"/>
      <c r="T72" s="769"/>
      <c r="U72" s="769"/>
      <c r="V72" s="769"/>
      <c r="W72" s="769"/>
      <c r="X72" s="769"/>
      <c r="Y72" s="769"/>
      <c r="Z72" s="769"/>
      <c r="AA72" s="769"/>
      <c r="AB72" s="769"/>
      <c r="AC72" s="769"/>
      <c r="AD72" s="769"/>
      <c r="AE72" s="769"/>
      <c r="AF72" s="769"/>
      <c r="AG72" s="769"/>
      <c r="AH72" s="1413"/>
      <c r="AI72" s="769"/>
      <c r="AJ72" s="769"/>
      <c r="AK72" s="769"/>
      <c r="AL72" s="769"/>
      <c r="AM72" s="769"/>
      <c r="AN72" s="769"/>
      <c r="AO72" s="769"/>
      <c r="AP72" s="769"/>
      <c r="AQ72" s="769"/>
      <c r="AR72" s="769"/>
      <c r="AS72" s="769"/>
      <c r="AT72" s="769"/>
      <c r="AU72" s="769"/>
      <c r="AV72" s="769"/>
      <c r="AW72" s="769"/>
      <c r="AX72" s="769"/>
      <c r="AY72" s="1582"/>
      <c r="BA72" s="769"/>
      <c r="BB72" s="769"/>
      <c r="BC72" s="769"/>
      <c r="BD72" s="769"/>
      <c r="BE72" s="769"/>
      <c r="BF72" s="769"/>
      <c r="BG72" s="769"/>
      <c r="BH72" s="769"/>
      <c r="BI72" s="769"/>
      <c r="BJ72" s="769"/>
      <c r="BK72" s="769"/>
      <c r="BL72" s="769"/>
      <c r="BM72" s="769"/>
      <c r="BN72" s="769"/>
      <c r="BO72" s="769"/>
      <c r="BP72" s="769"/>
      <c r="BQ72" s="769"/>
      <c r="BR72" s="769"/>
      <c r="BS72" s="769"/>
      <c r="BT72" s="769"/>
      <c r="BU72" s="769"/>
      <c r="BV72" s="769"/>
      <c r="BW72" s="769"/>
      <c r="BX72" s="1415"/>
      <c r="BY72" s="1415"/>
      <c r="BZ72" s="1415"/>
      <c r="CA72" s="1415"/>
      <c r="CB72" s="1415"/>
      <c r="CC72" s="1415"/>
      <c r="CD72" s="1415"/>
      <c r="CE72" s="1415"/>
      <c r="CF72" s="1415"/>
      <c r="CG72" s="1415"/>
      <c r="CH72" s="1415"/>
      <c r="CI72" s="1415"/>
      <c r="CJ72" s="1415"/>
      <c r="CK72" s="1415"/>
      <c r="CL72" s="1415"/>
      <c r="CM72" s="1415"/>
      <c r="CN72" s="1415"/>
      <c r="CO72" s="1415"/>
      <c r="CP72" s="1415"/>
      <c r="DN72" s="769"/>
    </row>
    <row r="73" spans="1:173" ht="15.75">
      <c r="A73" s="1425" t="str">
        <f>[10]équipes!A19</f>
        <v>Muzillac TT 6</v>
      </c>
      <c r="C73" s="769"/>
      <c r="D73" s="769"/>
      <c r="E73" s="769"/>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1413"/>
      <c r="AI73" s="769"/>
      <c r="AJ73" s="769"/>
      <c r="AK73" s="769"/>
      <c r="AL73" s="769"/>
      <c r="AM73" s="769"/>
      <c r="AN73" s="769"/>
      <c r="AO73" s="769"/>
      <c r="AP73" s="769"/>
      <c r="AQ73" s="769"/>
      <c r="AR73" s="769"/>
      <c r="AS73" s="769"/>
      <c r="AT73" s="769"/>
      <c r="AU73" s="769"/>
      <c r="AV73" s="769"/>
      <c r="AW73" s="769"/>
      <c r="AX73" s="769"/>
      <c r="AY73" s="1582"/>
      <c r="BA73" s="769"/>
      <c r="BB73" s="769"/>
      <c r="BC73" s="769"/>
      <c r="BD73" s="769"/>
      <c r="BE73" s="769"/>
      <c r="BF73" s="769"/>
      <c r="BG73" s="769"/>
      <c r="BH73" s="769"/>
      <c r="BI73" s="769"/>
      <c r="BJ73" s="769"/>
      <c r="BK73" s="769"/>
      <c r="BL73" s="769"/>
      <c r="BM73" s="769"/>
      <c r="BN73" s="769"/>
      <c r="BO73" s="769"/>
      <c r="BP73" s="769"/>
      <c r="BQ73" s="769"/>
      <c r="BR73" s="769"/>
      <c r="BS73" s="769"/>
      <c r="BT73" s="769"/>
      <c r="BU73" s="769"/>
      <c r="BV73" s="769"/>
      <c r="BW73" s="769"/>
      <c r="BX73" s="1415"/>
      <c r="BY73" s="1415"/>
      <c r="BZ73" s="1415"/>
      <c r="CA73" s="1415"/>
      <c r="CB73" s="1415"/>
      <c r="CC73" s="1415"/>
      <c r="CD73" s="1415"/>
      <c r="CE73" s="1415"/>
      <c r="CF73" s="1415"/>
      <c r="CG73" s="1415"/>
      <c r="CH73" s="1415"/>
      <c r="CI73" s="1415"/>
      <c r="CJ73" s="1415"/>
      <c r="CK73" s="1415"/>
      <c r="CL73" s="1415"/>
      <c r="CM73" s="1415"/>
      <c r="CN73" s="1415"/>
      <c r="CO73" s="1415"/>
      <c r="CP73" s="1415"/>
      <c r="DN73" s="769"/>
    </row>
    <row r="74" spans="1:173" ht="15.75">
      <c r="A74" s="1425" t="str">
        <f>[10]équipes!A14</f>
        <v>Muzillac TT 1</v>
      </c>
      <c r="B74" s="1420">
        <f ca="1">COUNTIF($AP2:$AP70,"&lt;2")</f>
        <v>4</v>
      </c>
      <c r="C74" s="1420">
        <f ca="1">COUNTIF($AQ2:$AQ70,"&lt;2")</f>
        <v>4</v>
      </c>
      <c r="D74" s="1420">
        <f ca="1">COUNTIF($AR2:$AR70,"&lt;2")</f>
        <v>4</v>
      </c>
      <c r="E74" s="1420">
        <f ca="1">COUNTIF($AS2:$AS70,"&lt;2")</f>
        <v>4</v>
      </c>
      <c r="F74" s="1420">
        <f ca="1">COUNTIF($AT2:$AT70,"&lt;2")</f>
        <v>4</v>
      </c>
      <c r="G74" s="1420">
        <f ca="1">COUNTIF($AU2:$AU70,"&lt;2")</f>
        <v>4</v>
      </c>
      <c r="H74" s="1420">
        <f ca="1">COUNTIF($AV2:$AV70,"&lt;2")</f>
        <v>4</v>
      </c>
      <c r="I74" s="1420">
        <f ca="1">COUNTIF($AP2:$AP70,"&lt;3")</f>
        <v>8</v>
      </c>
      <c r="J74" s="1420">
        <f ca="1">COUNTIF($AQ2:$AQ70,"&lt;3")</f>
        <v>8</v>
      </c>
      <c r="K74" s="1420">
        <f ca="1">COUNTIF($AR2:$AR70,"&lt;3")</f>
        <v>8</v>
      </c>
      <c r="L74" s="1420">
        <f ca="1">COUNTIF($AS2:$AS70,"&lt;3")</f>
        <v>8</v>
      </c>
      <c r="M74" s="1420">
        <f ca="1">COUNTIF($AT2:$AT70,"&lt;3")</f>
        <v>8</v>
      </c>
      <c r="N74" s="1420">
        <f ca="1">COUNTIF($AU2:$AU70,"&lt;3")</f>
        <v>8</v>
      </c>
      <c r="O74" s="1420">
        <f ca="1">COUNTIF($AV2:$AV70,"&lt;3")</f>
        <v>8</v>
      </c>
      <c r="P74" s="1420">
        <f ca="1">COUNTIF($AP2:$AP70,"&lt;4")</f>
        <v>12</v>
      </c>
      <c r="Q74" s="1420">
        <f ca="1">COUNTIF($AQ2:$AQ70,"&lt;4")</f>
        <v>12</v>
      </c>
      <c r="R74" s="1420">
        <f ca="1">COUNTIF($AR2:$AR70,"&lt;4")</f>
        <v>12</v>
      </c>
      <c r="S74" s="1420">
        <f ca="1">COUNTIF($AS2:$AS70,"&lt;4")</f>
        <v>12</v>
      </c>
      <c r="T74" s="1420">
        <f ca="1">COUNTIF($AT2:$AT70,"&lt;4")</f>
        <v>8</v>
      </c>
      <c r="U74" s="1420">
        <f ca="1">COUNTIF($AU2:$AU70,"&lt;4")</f>
        <v>12</v>
      </c>
      <c r="V74" s="1420">
        <f ca="1">COUNTIF($AV2:$AV70,"&lt;4")</f>
        <v>11</v>
      </c>
      <c r="W74" s="1420">
        <f ca="1">COUNTIF($AP2:$AP70,"&lt;5")</f>
        <v>16</v>
      </c>
      <c r="X74" s="1420">
        <f ca="1">COUNTIF($AQ2:$AQ70,"&lt;5")</f>
        <v>16</v>
      </c>
      <c r="Y74" s="1420">
        <f ca="1">COUNTIF($AR2:$AR70,"&lt;5")</f>
        <v>16</v>
      </c>
      <c r="Z74" s="1420">
        <f ca="1">COUNTIF($AS2:$AS70,"&lt;5")</f>
        <v>16</v>
      </c>
      <c r="AA74" s="1420">
        <f ca="1">COUNTIF($AT2:$AT70,"&lt;5")</f>
        <v>12</v>
      </c>
      <c r="AB74" s="1420">
        <f ca="1">COUNTIF($AU2:$AU70,"&lt;5")</f>
        <v>16</v>
      </c>
      <c r="AC74" s="1420">
        <f ca="1">COUNTIF($AV2:$AV70,"&lt;5")</f>
        <v>14</v>
      </c>
      <c r="AD74" s="1420">
        <f ca="1">COUNTIF($AP2:$AP70,"&lt;6")</f>
        <v>20</v>
      </c>
      <c r="AE74" s="1420">
        <f ca="1">COUNTIF($AQ2:$AQ70,"&lt;6")</f>
        <v>20</v>
      </c>
      <c r="AF74" s="1420">
        <f ca="1">COUNTIF($AR2:$AR70,"&lt;6")</f>
        <v>20</v>
      </c>
      <c r="AG74" s="1420">
        <f ca="1">COUNTIF($AR2:$AR70,"&lt;6")</f>
        <v>20</v>
      </c>
      <c r="AH74" s="1420">
        <f ca="1">COUNTIF($AT2:$AT70,"&lt;6")</f>
        <v>16</v>
      </c>
      <c r="AI74" s="1420">
        <f ca="1">COUNTIF($AT2:$AT70,"&lt;6")</f>
        <v>16</v>
      </c>
      <c r="AJ74" s="1420">
        <f ca="1">COUNTIF($AV2:$AV70,"&lt;6")</f>
        <v>18</v>
      </c>
      <c r="AK74" s="1420">
        <f ca="1">COUNTIF($AP2:$AP70,"&lt;7")</f>
        <v>24</v>
      </c>
      <c r="AL74" s="1420">
        <f ca="1">COUNTIF($AQ2:$AQ70,"&lt;7")</f>
        <v>24</v>
      </c>
      <c r="AM74" s="1420">
        <f ca="1">COUNTIF($AR2:$AR70,"&lt;7")</f>
        <v>24</v>
      </c>
      <c r="AN74" s="1420">
        <f ca="1">COUNTIF($AS2:$AS70,"&lt;7")</f>
        <v>24</v>
      </c>
      <c r="AO74" s="1420">
        <f ca="1">COUNTIF($AT2:$AT70,"&lt;7")</f>
        <v>20</v>
      </c>
      <c r="AP74" s="1420">
        <f ca="1">COUNTIF($AU2:$AU70,"&lt;7")</f>
        <v>24</v>
      </c>
      <c r="AQ74" s="1420">
        <f ca="1">COUNTIF($AV2:$AV70,"&lt;7")</f>
        <v>22</v>
      </c>
      <c r="AR74" s="1420">
        <f ca="1">COUNTIF($AP2:$AP70,"&lt;8")</f>
        <v>28</v>
      </c>
      <c r="AS74" s="1420">
        <f ca="1">COUNTIF($AQ2:$AQ70,"&lt;8")</f>
        <v>28</v>
      </c>
      <c r="AT74" s="1420">
        <f ca="1">COUNTIF($AR2:$AR70,"&lt;8")</f>
        <v>28</v>
      </c>
      <c r="AU74" s="1420">
        <f ca="1">COUNTIF($AS2:$AS70,"&lt;8")</f>
        <v>28</v>
      </c>
      <c r="AV74" s="1420">
        <f ca="1">COUNTIF($AT2:$AT70,"&lt;8")</f>
        <v>24</v>
      </c>
      <c r="AW74" s="1420">
        <f ca="1">COUNTIF($AU2:$AU70,"&lt;8")</f>
        <v>28</v>
      </c>
      <c r="AX74" s="1420">
        <f ca="1">COUNTIF($AV2:$AV70,"&lt;8")</f>
        <v>26</v>
      </c>
      <c r="AY74" s="1584">
        <f ca="1">COUNTIF($AP2:$AP70,"&lt;9")</f>
        <v>32</v>
      </c>
      <c r="AZ74" s="1584">
        <f ca="1">COUNTIF($AQ2:$AQ70,"&lt;9")</f>
        <v>32</v>
      </c>
      <c r="BA74" s="1420">
        <f ca="1">COUNTIF($AR2:$AR70,"&lt;9")</f>
        <v>32</v>
      </c>
      <c r="BB74" s="1420">
        <f ca="1">COUNTIF($AS2:$AS70,"&lt;9")</f>
        <v>32</v>
      </c>
      <c r="BC74" s="1420">
        <f ca="1">COUNTIF($AT2:$AT70,"&lt;9")</f>
        <v>24</v>
      </c>
      <c r="BD74" s="1420">
        <f ca="1">COUNTIF($AU2:$AU70,"&lt;9")</f>
        <v>32</v>
      </c>
      <c r="BE74" s="1420">
        <f ca="1">COUNTIF($AV2:$AV70,"&lt;9")</f>
        <v>30</v>
      </c>
      <c r="BF74" s="769"/>
      <c r="BG74" s="769"/>
      <c r="BH74" s="769"/>
      <c r="BI74" s="769"/>
      <c r="BJ74" s="769"/>
      <c r="BK74" s="769"/>
      <c r="BL74" s="769"/>
      <c r="BM74" s="769"/>
      <c r="BN74" s="769"/>
      <c r="BO74" s="769"/>
      <c r="BP74" s="769"/>
      <c r="BQ74" s="769"/>
      <c r="BR74" s="769"/>
      <c r="BS74" s="769"/>
      <c r="BT74" s="769"/>
      <c r="BU74" s="769"/>
      <c r="BV74" s="769"/>
      <c r="BW74" s="1415"/>
      <c r="BX74" s="1415"/>
      <c r="BY74" s="1415"/>
      <c r="BZ74" s="1415"/>
      <c r="CA74" s="1415"/>
      <c r="CB74" s="1415"/>
      <c r="CC74" s="1415"/>
      <c r="CD74" s="1415"/>
      <c r="CE74" s="1415"/>
      <c r="CF74" s="1415"/>
      <c r="CG74" s="1415"/>
      <c r="CH74" s="1415"/>
      <c r="CI74" s="1415"/>
      <c r="CJ74" s="1415"/>
      <c r="CK74" s="1415"/>
      <c r="CL74" s="1415"/>
      <c r="CM74" s="1415"/>
      <c r="CN74" s="1415"/>
      <c r="CO74" s="1415"/>
      <c r="CP74" s="1406"/>
      <c r="CQ74" s="81"/>
      <c r="DD74" s="1403"/>
      <c r="DE74" s="1405"/>
      <c r="DF74" s="1403"/>
      <c r="DG74" s="1404"/>
      <c r="DH74" s="1403"/>
      <c r="DI74" s="86"/>
      <c r="DL74"/>
      <c r="DM74" s="769"/>
      <c r="DN74" s="554"/>
      <c r="DP74" s="1401"/>
      <c r="DQ74" s="1400"/>
      <c r="DR74"/>
    </row>
    <row r="75" spans="1:173" ht="15.75">
      <c r="A75" s="769" t="str">
        <f>[10]équipes!A18</f>
        <v>Muzillac TT 5</v>
      </c>
      <c r="B75" s="1412" t="s">
        <v>722</v>
      </c>
      <c r="C75" s="769" t="s">
        <v>721</v>
      </c>
      <c r="D75" s="769" t="s">
        <v>720</v>
      </c>
      <c r="E75" s="769" t="s">
        <v>719</v>
      </c>
      <c r="F75" s="769" t="s">
        <v>718</v>
      </c>
      <c r="G75" s="769" t="s">
        <v>717</v>
      </c>
      <c r="H75" s="1424" t="s">
        <v>716</v>
      </c>
      <c r="I75" s="1412" t="s">
        <v>722</v>
      </c>
      <c r="J75" s="769" t="s">
        <v>721</v>
      </c>
      <c r="K75" s="769" t="s">
        <v>720</v>
      </c>
      <c r="L75" s="769" t="s">
        <v>719</v>
      </c>
      <c r="M75" s="769" t="s">
        <v>718</v>
      </c>
      <c r="N75" s="769" t="s">
        <v>717</v>
      </c>
      <c r="O75" s="1424" t="s">
        <v>716</v>
      </c>
      <c r="P75" s="1412" t="s">
        <v>722</v>
      </c>
      <c r="Q75" s="769" t="s">
        <v>721</v>
      </c>
      <c r="R75" s="769" t="s">
        <v>720</v>
      </c>
      <c r="S75" s="769" t="s">
        <v>719</v>
      </c>
      <c r="T75" s="769" t="s">
        <v>718</v>
      </c>
      <c r="U75" s="769" t="s">
        <v>717</v>
      </c>
      <c r="V75" s="1424" t="s">
        <v>716</v>
      </c>
      <c r="W75" s="1412" t="s">
        <v>722</v>
      </c>
      <c r="X75" s="769" t="s">
        <v>721</v>
      </c>
      <c r="Y75" s="769" t="s">
        <v>720</v>
      </c>
      <c r="Z75" s="769" t="s">
        <v>719</v>
      </c>
      <c r="AA75" s="769" t="s">
        <v>718</v>
      </c>
      <c r="AB75" s="769" t="s">
        <v>717</v>
      </c>
      <c r="AC75" s="1424" t="s">
        <v>716</v>
      </c>
      <c r="AD75" s="1424" t="s">
        <v>722</v>
      </c>
      <c r="AE75" s="769" t="s">
        <v>721</v>
      </c>
      <c r="AF75" s="769" t="s">
        <v>720</v>
      </c>
      <c r="AG75" s="769" t="s">
        <v>719</v>
      </c>
      <c r="AH75" s="769" t="s">
        <v>718</v>
      </c>
      <c r="AI75" s="769" t="s">
        <v>717</v>
      </c>
      <c r="AJ75" s="1424" t="s">
        <v>716</v>
      </c>
      <c r="AK75" s="1412" t="s">
        <v>722</v>
      </c>
      <c r="AL75" s="769" t="s">
        <v>721</v>
      </c>
      <c r="AM75" s="769" t="s">
        <v>720</v>
      </c>
      <c r="AN75" s="769" t="s">
        <v>719</v>
      </c>
      <c r="AO75" s="769" t="s">
        <v>718</v>
      </c>
      <c r="AP75" s="769" t="s">
        <v>717</v>
      </c>
      <c r="AQ75" s="1424" t="s">
        <v>716</v>
      </c>
      <c r="AR75" s="1412" t="s">
        <v>722</v>
      </c>
      <c r="AS75" s="769" t="s">
        <v>721</v>
      </c>
      <c r="AT75" s="769" t="s">
        <v>720</v>
      </c>
      <c r="AU75" s="769" t="s">
        <v>719</v>
      </c>
      <c r="AV75" s="769" t="s">
        <v>718</v>
      </c>
      <c r="AW75" s="769" t="s">
        <v>717</v>
      </c>
      <c r="AX75" s="1424" t="s">
        <v>716</v>
      </c>
      <c r="AY75" s="1585" t="s">
        <v>722</v>
      </c>
      <c r="AZ75" s="1586" t="s">
        <v>721</v>
      </c>
      <c r="BA75" s="769" t="s">
        <v>720</v>
      </c>
      <c r="BB75" s="769" t="s">
        <v>719</v>
      </c>
      <c r="BC75" s="769" t="s">
        <v>718</v>
      </c>
      <c r="BD75" s="769" t="s">
        <v>717</v>
      </c>
      <c r="BE75" s="1424" t="s">
        <v>716</v>
      </c>
      <c r="BH75" s="769" t="s">
        <v>720</v>
      </c>
      <c r="BI75" s="769" t="s">
        <v>719</v>
      </c>
      <c r="BJ75" s="769" t="s">
        <v>718</v>
      </c>
      <c r="BK75" s="769" t="s">
        <v>717</v>
      </c>
      <c r="BL75" s="769" t="s">
        <v>716</v>
      </c>
      <c r="BM75" s="769" t="s">
        <v>715</v>
      </c>
      <c r="BN75" s="769"/>
      <c r="BO75" s="769"/>
      <c r="BP75" s="769"/>
      <c r="BQ75" s="769"/>
      <c r="BR75" s="769"/>
      <c r="BS75" s="769"/>
      <c r="BT75" s="769"/>
      <c r="BU75" s="769"/>
      <c r="BV75" s="769"/>
      <c r="BW75" s="1415"/>
      <c r="BX75" s="1415"/>
      <c r="BY75" s="1415"/>
      <c r="BZ75" s="1415"/>
      <c r="CA75" s="1415"/>
      <c r="CB75" s="1415"/>
      <c r="CC75" s="1415"/>
      <c r="CD75" s="1415"/>
      <c r="CE75" s="1415"/>
      <c r="CF75" s="1415"/>
      <c r="CG75" s="1415"/>
      <c r="CH75" s="1415"/>
      <c r="CI75" s="1415"/>
      <c r="CJ75" s="1415"/>
      <c r="CK75" s="1415"/>
      <c r="CL75" s="1415"/>
      <c r="CM75" s="1415"/>
      <c r="CN75" s="1415"/>
      <c r="CO75" s="1415"/>
      <c r="CP75" s="1406"/>
      <c r="CQ75" s="81"/>
      <c r="DD75" s="1403"/>
      <c r="DE75" s="1405"/>
      <c r="DF75" s="1403"/>
      <c r="DG75" s="1404"/>
      <c r="DH75" s="1403"/>
      <c r="DI75" s="86"/>
      <c r="DL75"/>
      <c r="DM75" s="769"/>
      <c r="DN75" s="554"/>
      <c r="DP75" s="1401"/>
      <c r="DQ75" s="1400"/>
      <c r="DR75"/>
    </row>
    <row r="76" spans="1:173" ht="15.75">
      <c r="A76" s="1418" t="s">
        <v>714</v>
      </c>
      <c r="B76" s="1423" t="str">
        <f ca="1">IF(SMALL($AP$1:$AP$70,1)&gt;2,"",VLOOKUP(SMALL($AP$1:$AP$70,1),$AP$1:$AX$70,9,FALSE))</f>
        <v>Flégeau Matthieu</v>
      </c>
      <c r="C76" s="1423" t="str">
        <f ca="1">IF(SMALL($AQ$1:$AQ$70,1)&gt;2,"",VLOOKUP(SMALL($AQ$1:$AQ$70,1),$AQ$1:$AX$70,8,FALSE))</f>
        <v>Trin Kilian</v>
      </c>
      <c r="D76" s="1423" t="str">
        <f ca="1">IF(SMALL($AR$1:$AR$70,1)&gt;2,"",VLOOKUP(SMALL($AR$1:$AR$70,1),$AR$1:$AX$70,7,FALSE))</f>
        <v>Trin Kilian</v>
      </c>
      <c r="E76" s="1423" t="str">
        <f ca="1">IF(SMALL('résultats (2)'!$AS$1:$AS$70,1)&gt;2,"",VLOOKUP(SMALL('résultats (2)'!$AS$1:$AS$70,1),'résultats (2)'!$AS$1:$AX$70,6,FALSE))</f>
        <v>Beyl Yann</v>
      </c>
      <c r="F76" s="1423" t="str">
        <f ca="1">IF(SMALL($AT$1:$AT$70,1)&gt;2,"",VLOOKUP(SMALL($AT$1:$AT$70,1),$AT$1:$AX$70,5,FALSE))</f>
        <v>Brient Jean-François</v>
      </c>
      <c r="G76" s="1423" t="str">
        <f ca="1">IF(SMALL($AU$1:$AU$70,1)&gt;2,"",VLOOKUP(SMALL($AU$1:$AU$70,1),$AU$1:$AX$70,4,FALSE))</f>
        <v>Nicolas Jérémy</v>
      </c>
      <c r="H76" s="1422" t="str">
        <f ca="1">IF(SMALL($AV$1:$AV$70,1)&gt;2,"",VLOOKUP(SMALL($AV$1:$AV$70,1),$AV$1:$AX$70,3,FALSE))</f>
        <v>Brient Jean-François</v>
      </c>
      <c r="I76" s="1423" t="str">
        <f ca="1">IF(SMALL($AP$1:$AP$70,B$74+1)&gt;3,"",VLOOKUP(SMALL($AP$1:$AP$70,B$74+1),$AP$1:$AX$70,9,FALSE))</f>
        <v>Roszak Martin</v>
      </c>
      <c r="J76" s="1423" t="str">
        <f ca="1">IF(SMALL($AQ$1:$AQ$70,C$74+1)&gt;3,"",VLOOKUP(SMALL($AQ$1:$AQ$70,C$74+1),$AQ$1:$AX$70,8,FALSE))</f>
        <v>Roszak Martin</v>
      </c>
      <c r="K76" s="1423" t="str">
        <f ca="1">IF(SMALL($AR$1:$AR$70,D$74+1)&gt;3,"",VLOOKUP(SMALL($AR$1:$AR$70,D$74+1),$AR$1:$AX$70,7,FALSE))</f>
        <v>Morin Quentin</v>
      </c>
      <c r="L76" s="1423" t="str">
        <f ca="1">IF(SMALL($AS$1:$AS$70,E$74+1)&gt;3,"",VLOOKUP(SMALL($AS$1:$AS$70,E$74+1),$AS$1:$AX$70,6,FALSE))</f>
        <v>Roszak Martin</v>
      </c>
      <c r="M76" s="1423" t="str">
        <f ca="1">IF(SMALL($AT$1:$AT$70,F$74+1)&gt;3,"",VLOOKUP(SMALL($AT$1:$AT$70,F$74+1),$AT$1:$AX$70,5,FALSE))</f>
        <v>Couture Christophe</v>
      </c>
      <c r="N76" s="1423" t="str">
        <f ca="1">IF(SMALL($AU$1:$AU$70,G$74+1)&gt;3,"",VLOOKUP(SMALL($AU$1:$AU$70,G$74+1),$AU$1:$AX$70,4,FALSE))</f>
        <v>Roszak Martin</v>
      </c>
      <c r="O76" s="1422" t="str">
        <f ca="1">IF(SMALL($AV$1:$AV$70,H$74+1)&gt;3,"",VLOOKUP(SMALL($AV$1:$AV$70,H$74+1),$AV$1:$AX$70,3,FALSE))</f>
        <v>Hilton Franck</v>
      </c>
      <c r="P76" s="1423" t="str">
        <f ca="1">IF(SMALL($AP$1:$AP$70,I$74+1)&gt;4,"",VLOOKUP(SMALL($AP$1:$AP$70,I$74+1),$AP$1:$AX$70,9,FALSE))</f>
        <v>Hilton Franck</v>
      </c>
      <c r="Q76" s="1423" t="str">
        <f ca="1">IF(SMALL($AQ$1:$AQ$70,J$74+1)&gt;4,"",VLOOKUP(SMALL($AQ$1:$AQ$70,J$74+1),$AQ$1:$AX$70,8,FALSE))</f>
        <v>Cojean Youen</v>
      </c>
      <c r="R76" s="1423" t="str">
        <f ca="1">IF(SMALL($AR$1:$AR$70,K$74+1)&gt;4,"",VLOOKUP(SMALL($AR$1:$AR$70,K$74+1),$AR$1:$AX$70,7,FALSE))</f>
        <v>Morin Léa</v>
      </c>
      <c r="S76" s="1423" t="str">
        <f ca="1">IF(SMALL($AS$1:$AS$70,L$74+1)&gt;4,"",VLOOKUP(SMALL($AS$1:$AS$70,L$74+1),$AS$1:$AX$70,6,FALSE))</f>
        <v>Hilton Franck</v>
      </c>
      <c r="T76" s="1423" t="str">
        <f ca="1">IF(SMALL($AT$1:$AT$70,M$74+1)&gt;4,"",VLOOKUP(SMALL($AT$1:$AT$70,M$74+1),$AT$1:$AX$70,5,FALSE))</f>
        <v/>
      </c>
      <c r="U76" s="1423" t="str">
        <f ca="1">IF(SMALL($AU$1:$AU$70,N$74+1)&gt;4,"",VLOOKUP(SMALL($AU$1:$AU$70,N$74+1),$AU$1:$AX$70,4,FALSE))</f>
        <v>Le Garnec Sacha</v>
      </c>
      <c r="V76" s="1422" t="str">
        <f ca="1">IF(SMALL($AV$1:$AV$70,O$74+1)&gt;4,"",VLOOKUP(SMALL($AV$1:$AV$70,O$74+1),$AV$1:$AX$70,3,FALSE))</f>
        <v>Le Garnec Sacha</v>
      </c>
      <c r="W76" s="1423" t="str">
        <f ca="1">IF(SMALL($AP$1:$AP$70,P$74+1)&gt;5,"",VLOOKUP(SMALL($AP$1:$AP$70,P$74+1),$AP$1:$AX$70,9,FALSE))</f>
        <v>Mierzwa Julien</v>
      </c>
      <c r="X76" s="1423" t="str">
        <f ca="1">IF(SMALL($AQ$1:$AQ$70,Q$74+1)&gt;5,"",VLOOKUP(SMALL($AQ$1:$AQ$70,Q$74+1),$AQ$1:$AX$70,8,FALSE))</f>
        <v>Baudais Luc</v>
      </c>
      <c r="Y76" s="1423" t="str">
        <f ca="1">IF(SMALL($AR$1:$AR$70,R$74+1)&gt;5,"",VLOOKUP(SMALL($AR$1:$AR$70,R$74+1),$AR$1:$AX$70,7,FALSE))</f>
        <v>Colombel Guy</v>
      </c>
      <c r="Z76" s="1423" t="str">
        <f ca="1">IF(SMALL($AS$1:$AS$70,S$74+1)&gt;5,"",VLOOKUP(SMALL($AS$1:$AS$70,S$74+1),$AS$1:$AX$70,6,FALSE))</f>
        <v>Rochefort Reginald</v>
      </c>
      <c r="AA76" s="1423" t="str">
        <f ca="1">IF(SMALL($AT$1:$AT$70,T$74+1)&gt;5,"",VLOOKUP(SMALL($AT$1:$AT$70,T$74+1),$AT$1:$AX$70,5,FALSE))</f>
        <v>Baudais Luc</v>
      </c>
      <c r="AB76" s="1423" t="str">
        <f ca="1">IF(SMALL($AU$1:$AU$70,U$74+1)&gt;5,"",VLOOKUP(SMALL($AU$1:$AU$70,U$74+1),$AU$1:$AX$70,4,FALSE))</f>
        <v>Colombel Guy</v>
      </c>
      <c r="AC76" s="1422" t="str">
        <f ca="1">IF(SMALL($AV$1:$AV$70,V$74+1)&gt;5,"",VLOOKUP(SMALL($AV$1:$AV$70,V$74+1),$AV$1:$AX$70,3,FALSE))</f>
        <v>Baudais Luc</v>
      </c>
      <c r="AD76" s="1422" t="str">
        <f ca="1">IF(SMALL($AP$1:$AP$70,W$74+1)&gt;6,"",VLOOKUP(SMALL($AP$1:$AP$70,W$74+1),$AP$1:$AX$70,9,FALSE))</f>
        <v>Morin Léa</v>
      </c>
      <c r="AE76" s="1423" t="str">
        <f ca="1">IF(SMALL($AQ$1:$AQ$70,X$74+1)&gt;6,"",VLOOKUP(SMALL($AQ$1:$AQ$70,X$74+1),$AQ$1:$AX$70,8,FALSE))</f>
        <v>Allano Antoine</v>
      </c>
      <c r="AF76" s="1423" t="str">
        <f ca="1">IF(SMALL($AR$1:$AR$70,Y$74+1)&gt;6,"",VLOOKUP(SMALL($AR$1:$AR$70,Y$74+1),$AR$1:$AX$70,7,FALSE))</f>
        <v>Vilain Benjamin</v>
      </c>
      <c r="AG76" s="1423" t="str">
        <f ca="1">IF(SMALL($AS$1:$AS$70,Z$74+1)&gt;6,"",VLOOKUP(SMALL($AS$1:$AS$70,Z$74+1),$AS$1:$AX$70,6,FALSE))</f>
        <v>Allano Antoine</v>
      </c>
      <c r="AH76" s="1423" t="str">
        <f ca="1">IF(SMALL($AT$1:$AT$70,AA$74+1)&gt;6,"",VLOOKUP(SMALL($AT$1:$AT$70,AA$74+1),$AT$1:$AX$70,5,FALSE))</f>
        <v>Morin Léa</v>
      </c>
      <c r="AI76" s="1423" t="str">
        <f ca="1">IF(SMALL($AU$1:$AU$70,AB$74+1)&gt;6,"",VLOOKUP(SMALL($AU$1:$AU$70,AB$74+1),$AU$1:$AX$70,4,FALSE))</f>
        <v>Allano Antoine</v>
      </c>
      <c r="AJ76" s="1422" t="str">
        <f ca="1">IF(SMALL($AV$1:$AV$70,AC$74+1)&gt;6,"",VLOOKUP(SMALL($AV$1:$AV$70,AC$74+1),$AV$1:$AX$70,3,FALSE))</f>
        <v>Le Cam Alan</v>
      </c>
      <c r="AK76" s="1423" t="str">
        <f ca="1">IF(SMALL($AP$1:$AP$70,AD$74+1)&gt;7,"",VLOOKUP(SMALL($AP$1:$AP$70,AD$74+1),$AP$1:$AX$70,9,FALSE))</f>
        <v>Le Cam Corentin</v>
      </c>
      <c r="AL76" s="1423" t="str">
        <f ca="1">IF(SMALL($AQ$1:$AQ$70,AE$74+1)&gt;7,"",VLOOKUP(SMALL($AQ$1:$AQ$70,AE$74+1),$AQ$1:$AX$70,8,FALSE))</f>
        <v>Dayot Franck</v>
      </c>
      <c r="AM76" s="1423" t="str">
        <f ca="1">IF(SMALL($AR$1:$AR$70,AF$74+1)&gt;7,"",VLOOKUP(SMALL($AR$1:$AR$70,AF$74+1),$AR$1:$AX$70,7,FALSE))</f>
        <v>Dayot Franck</v>
      </c>
      <c r="AN76" s="1423" t="str">
        <f ca="1">IF(SMALL($AS$1:$AS$70,AG$74+1)&gt;7,"",VLOOKUP(SMALL($AS$1:$AS$70,AG$74+1),$AS$1:$AX$70,6,FALSE))</f>
        <v>Le Cam Corentin</v>
      </c>
      <c r="AO76" s="1423" t="str">
        <f ca="1">IF(SMALL($AT$1:$AT$70,AH$74+1)&gt;7,"",VLOOKUP(SMALL($AT$1:$AT$70,AH$74+1),$AT$1:$AX$70,5,FALSE))</f>
        <v>Lecossier Michel</v>
      </c>
      <c r="AP76" s="1423" t="str">
        <f ca="1">IF(SMALL($AU$1:$AU$70,AI$74+1)&gt;7,"",VLOOKUP(SMALL($AU$1:$AU$70,AI$74+1),$AU$1:$AX$70,4,FALSE))</f>
        <v>Allano Antoine</v>
      </c>
      <c r="AQ76" s="1422" t="str">
        <f ca="1">IF(SMALL($AV$1:$AV$70,AJ$74+1)&gt;7,"",VLOOKUP(SMALL($AV$1:$AV$70,AJ$74+1),$AV$1:$AX$70,3,FALSE))</f>
        <v>Zaragoza José</v>
      </c>
      <c r="AR76" s="1423" t="str">
        <f ca="1">IF(SMALL($AP$1:$AP$70,AK$74+1)&gt;8,"",VLOOKUP(SMALL($AP$1:$AP$70,AK$74+1),$AP$1:$AX$70,9,FALSE))</f>
        <v>Zaragoza José</v>
      </c>
      <c r="AS76" s="1423" t="str">
        <f ca="1">IF(SMALL($AQ$1:$AQ$70,AL$74+1)&gt;8,"",VLOOKUP(SMALL($AQ$1:$AQ$70,AL$74+1),$AQ$1:$AX$70,8,FALSE))</f>
        <v>Bousseau Yannick</v>
      </c>
      <c r="AT76" s="1423" t="str">
        <f ca="1">IF(SMALL($AR$1:$AR$70,AM$74+1)&gt;8,"",VLOOKUP(SMALL($AR$1:$AR$70,AM$74+1),$AR$1:$AX$70,7,FALSE))</f>
        <v>Bousseau Yannick</v>
      </c>
      <c r="AU76" s="1423" t="str">
        <f ca="1">IF(SMALL($AS$1:$AS$70,$AN$74+1)&gt;8,"",VLOOKUP(SMALL($AS$1:$AS$70,$AN$74+1),$AS$1:$AX$70,6,FALSE))</f>
        <v>Zaragoza José</v>
      </c>
      <c r="AV76" s="1423" t="str">
        <f ca="1">IF(SMALL($AT$1:$AT$70,AO$74+1)&gt;8,"",VLOOKUP(SMALL($AT$1:$AT$70,AO$74+1),$AT$1:$AX$70,5,FALSE))</f>
        <v>Zaragoza Quentin</v>
      </c>
      <c r="AW76" s="1423" t="str">
        <f ca="1">IF(SMALL($AU$1:$AU$70,AP$74+1)&gt;8,"",VLOOKUP(SMALL($AU$1:$AU$70,AP$74+1),$AU$1:$AX$70,4,FALSE))</f>
        <v>Simon Titouan</v>
      </c>
      <c r="AX76" s="1422" t="str">
        <f ca="1">IF(SMALL($AV$1:$AV$70,AQ$74+1)&gt;8,"",VLOOKUP(SMALL($AV$1:$AV$70,AQ$74+1),$AV$1:$AX$70,3,FALSE))</f>
        <v>Bousseau Yannick</v>
      </c>
      <c r="AY76" s="1587" t="str">
        <f ca="1">IF(SMALL($AP$1:$AP$70,AR$74+1)&gt;9,"",VLOOKUP(SMALL($AP$1:$AP$70,AR$74+1),$AP$1:$AX$70,9,FALSE))</f>
        <v>Guehennec Benoit</v>
      </c>
      <c r="AZ76" s="1587" t="str">
        <f ca="1">IF(SMALL($AQ$1:$AQ$70,AS$74+1)&gt;9,"",VLOOKUP(SMALL($AQ$1:$AQ$70,AS$74+1),$AQ$1:$AX$70,8,FALSE))</f>
        <v>Ravel Serge</v>
      </c>
      <c r="BA76" s="1423" t="str">
        <f ca="1">IF(SMALL($AR$1:$AR$70,AT$74+1)&gt;9,"",VLOOKUP(SMALL($AR$1:$AR$70,AT$74+1),$AR$1:$AX$70,7,FALSE))</f>
        <v>Ravel Serge</v>
      </c>
      <c r="BB76" s="1423" t="str">
        <f ca="1">IF(SMALL($AS$1:$AS$70,$AN$74+1)&gt;9,"",VLOOKUP(SMALL($AS$1:$AS$70,$AN$74+1),$AS$1:$AX$70,6,FALSE))</f>
        <v>Zaragoza José</v>
      </c>
      <c r="BC76" s="1423" t="e">
        <f ca="1">IF(SMALL($AT$1:$AT$70,AV$74+1)&gt;9,"",VLOOKUP(SMALL($AT$1:$AT$70,AV$74+1),$AT$1:$AX$70,5,FALSE))</f>
        <v>#NUM!</v>
      </c>
      <c r="BD76" s="1423" t="str">
        <f ca="1">IF(SMALL($AU$1:$AU$70,AW$74+1)&gt;9,"",VLOOKUP(SMALL($AU$1:$AU$70,AW$74+1),$AU$1:$AX$70,4,FALSE))</f>
        <v>Guillotin Marie-Paule</v>
      </c>
      <c r="BE76" s="1422" t="str">
        <f ca="1">IF(SMALL($AV$1:$AV$70,AX$74+1)&gt;9,"",VLOOKUP(SMALL($AV$1:$AV$70,AX$74+1),$AV$1:$AX$70,3,FALSE))</f>
        <v>Ravel Serge</v>
      </c>
      <c r="BF76" s="769"/>
      <c r="BG76" s="769"/>
      <c r="BH76" s="769"/>
      <c r="BI76" s="769"/>
      <c r="BJ76" s="769"/>
      <c r="BK76" s="769"/>
      <c r="BL76" s="769"/>
      <c r="BM76" s="769"/>
      <c r="BN76" s="769"/>
      <c r="BO76" s="769"/>
      <c r="BP76" s="769"/>
      <c r="BQ76" s="769"/>
      <c r="BR76" s="769"/>
      <c r="BS76" s="769"/>
      <c r="BT76" s="769"/>
      <c r="BU76" s="769"/>
      <c r="BV76" s="1415"/>
      <c r="BW76" s="1415"/>
      <c r="BX76" s="1415"/>
      <c r="BY76" s="1415"/>
      <c r="BZ76" s="1415"/>
      <c r="CA76" s="1415"/>
      <c r="CB76" s="1415"/>
      <c r="CC76" s="1415"/>
      <c r="CD76" s="1415"/>
      <c r="CE76" s="1415"/>
      <c r="CF76" s="1415"/>
      <c r="CG76" s="1415"/>
      <c r="CH76" s="1415"/>
      <c r="CI76" s="1415"/>
      <c r="CJ76" s="1415"/>
      <c r="CK76" s="1415"/>
      <c r="CL76" s="1415"/>
      <c r="CM76" s="1415"/>
      <c r="CN76" s="1415"/>
      <c r="CO76" s="1406"/>
      <c r="CP76" s="81"/>
      <c r="CQ76" s="81"/>
      <c r="DC76" s="1403"/>
      <c r="DD76" s="1405"/>
      <c r="DF76" s="1404"/>
      <c r="DH76" s="86"/>
      <c r="DI76" s="86"/>
      <c r="DK76"/>
      <c r="DL76" s="769"/>
      <c r="DM76" s="554"/>
      <c r="DN76" s="554"/>
      <c r="DO76" s="1401"/>
      <c r="DP76" s="1400"/>
      <c r="DQ76"/>
      <c r="DR76"/>
    </row>
    <row r="77" spans="1:173" ht="15.75">
      <c r="A77" s="769" t="str">
        <f>[10]équipes!A15</f>
        <v>Muzillac TT 2</v>
      </c>
      <c r="B77" s="1423" t="str">
        <f ca="1">IF(SMALL('résultats (2)'!$AP$1:$AP$70,2)&gt;2,"",VLOOKUP(SMALL('résultats (2)'!$AP$1:$AP$70,2),'résultats (2)'!$AP$1:$AX$70,9,FALSE))</f>
        <v>Nicolas Jérémy</v>
      </c>
      <c r="C77" s="1423" t="str">
        <f ca="1">IF(SMALL('résultats (2)'!$AQ$1:$AQ$70,2)&gt;2,"",VLOOKUP(SMALL('résultats (2)'!$AQ$1:$AQ$70,2),'résultats (2)'!$AQ$1:$AX$70,8,FALSE))</f>
        <v>Brient Jean-François</v>
      </c>
      <c r="D77" s="1423" t="str">
        <f ca="1">IF(SMALL('résultats (2)'!$AR$1:$AR$70,2)&gt;2,"",VLOOKUP(SMALL('résultats (2)'!$AR$1:$AR$70,2),'résultats (2)'!$AR$1:$AX$70,7,FALSE))</f>
        <v>Brient Jean-François</v>
      </c>
      <c r="E77" s="1423" t="str">
        <f ca="1">IF(SMALL('résultats (2)'!$AS$1:$AS$70,2)&gt;2,"",VLOOKUP(SMALL('résultats (2)'!$AS$1:$AS$70,2),'résultats (2)'!$AS$1:$AX$70,6,FALSE))</f>
        <v>Nicolas Jérémy</v>
      </c>
      <c r="F77" s="1423" t="str">
        <f ca="1">IF(SMALL('résultats (2)'!$AT$1:$AT$70,2)&gt;2,"",VLOOKUP(SMALL('résultats (2)'!$AT$1:$AT$70,2),'résultats (2)'!$AT$1:$AX$70,5,FALSE))</f>
        <v>Couture Nicolas</v>
      </c>
      <c r="G77" s="1423" t="str">
        <f ca="1">IF(SMALL('résultats (2)'!$AU$1:$AU$70,2)&gt;2,"",VLOOKUP(SMALL('résultats (2)'!$AU$1:$AU$70,2),'résultats (2)'!$AU$1:$AX$70,4,FALSE))</f>
        <v>Beyl Yann</v>
      </c>
      <c r="H77" s="1422" t="str">
        <f ca="1">IF(SMALL('résultats (2)'!$AV$1:$AV$70,2)&gt;2,"",VLOOKUP(SMALL('résultats (2)'!$AV$1:$AV$70,2),'résultats (2)'!$AV$1:$AX$70,3,FALSE))</f>
        <v>Flégeau Matthieu</v>
      </c>
      <c r="I77" s="1423" t="str">
        <f ca="1">IF(SMALL($AP$1:$AP$70,B$74+2)&gt;3,"",VLOOKUP(SMALL($AP$1:$AP$70,B$74+2),$AP$1:$AX$70,9,FALSE))</f>
        <v>Morin Quentin</v>
      </c>
      <c r="J77" s="1423" t="str">
        <f ca="1">IF(SMALL($AQ$1:$AQ$70,C$74+2)&gt;3,"",VLOOKUP(SMALL($AQ$1:$AQ$70,C$74+2),$AQ$1:$AX$70,8,FALSE))</f>
        <v>Colombel Guy</v>
      </c>
      <c r="K77" s="1423" t="str">
        <f ca="1">IF(SMALL($AR$1:$AR$70,D$74+2)&gt;3,"",VLOOKUP(SMALL($AR$1:$AR$70,D$74+2),$AR$1:$AX$70,7,FALSE))</f>
        <v>Nicolas Jérémy</v>
      </c>
      <c r="L77" s="1423" t="str">
        <f ca="1">IF(SMALL($AS$1:$AS$70,E$74+2)&gt;3,"",VLOOKUP(SMALL($AS$1:$AS$70,E$74+2),$AS$1:$AX$70,6,FALSE))</f>
        <v>Roszak Clément</v>
      </c>
      <c r="M77" s="1423" t="str">
        <f ca="1">IF(SMALL($AT$1:$AT$70,F$74+2)&gt;3,"",VLOOKUP(SMALL($AT$1:$AT$70,F$74+2),$AT$1:$AX$70,5,FALSE))</f>
        <v>Roszak Martin</v>
      </c>
      <c r="N77" s="1423" t="str">
        <f ca="1">IF(SMALL($AU$1:$AU$70,G$74+2)&gt;3,"",VLOOKUP(SMALL($AU$1:$AU$70,G$74+2),$AU$1:$AX$70,4,FALSE))</f>
        <v>Morin Quentin</v>
      </c>
      <c r="O77" s="1422" t="str">
        <f ca="1">IF(SMALL($AV$1:$AV$70,H$74+2)&gt;3,"",VLOOKUP(SMALL($AV$1:$AV$70,H$74+2),$AV$1:$AX$70,3,FALSE))</f>
        <v>Roszak Clément</v>
      </c>
      <c r="P77" s="1423" t="str">
        <f ca="1">IF(SMALL($AP$1:$AP$70,I$74+2)&gt;4,"",VLOOKUP(SMALL($AP$1:$AP$70,I$74+2),$AP$1:$AX$70,9,FALSE))</f>
        <v>Cojean Youen</v>
      </c>
      <c r="Q77" s="1423" t="str">
        <f ca="1">IF(SMALL($AQ$1:$AQ$70,J$74+2)&gt;4,"",VLOOKUP(SMALL($AQ$1:$AQ$70,J$74+2),$AQ$1:$AX$70,8,FALSE))</f>
        <v>Hilton Franck</v>
      </c>
      <c r="R77" s="1423" t="str">
        <f ca="1">IF(SMALL($AR$1:$AR$70,K$74+2)&gt;4,"",VLOOKUP(SMALL($AR$1:$AR$70,K$74+2),$AR$1:$AX$70,7,FALSE))</f>
        <v>Le Garnec Sacha</v>
      </c>
      <c r="S77" s="1423" t="str">
        <f ca="1">IF(SMALL($AS$1:$AS$70,L$74+2)&gt;4,"",VLOOKUP(SMALL($AS$1:$AS$70,L$74+2),$AS$1:$AX$70,6,FALSE))</f>
        <v>Le Garnec Sacha</v>
      </c>
      <c r="T77" s="1423" t="str">
        <f ca="1">IF(SMALL($AT$1:$AT$70,M$74+2)&gt;4,"",VLOOKUP(SMALL($AT$1:$AT$70,M$74+2),$AT$1:$AX$70,5,FALSE))</f>
        <v/>
      </c>
      <c r="U77" s="1423" t="str">
        <f ca="1">IF(SMALL($AU$1:$AU$70,N$74+2)&gt;4,"",VLOOKUP(SMALL($AU$1:$AU$70,N$74+2),$AU$1:$AX$70,4,FALSE))</f>
        <v>Cojean Youen</v>
      </c>
      <c r="V77" s="1422" t="str">
        <f ca="1">IF(SMALL($AV$1:$AV$70,O$74+2)&gt;4,"",VLOOKUP(SMALL($AV$1:$AV$70,O$74+2),$AV$1:$AX$70,3,FALSE))</f>
        <v>Cojean Youen</v>
      </c>
      <c r="W77" s="1423" t="str">
        <f ca="1">IF(SMALL($AP$1:$AP$70,P$74+2)&gt;5,"",VLOOKUP(SMALL($AP$1:$AP$70,P$74+2),$AP$1:$AX$70,9,FALSE))</f>
        <v>Couture Christophe</v>
      </c>
      <c r="X77" s="1423" t="str">
        <f ca="1">IF(SMALL($AQ$1:$AQ$70,Q$74+2)&gt;5,"",VLOOKUP(SMALL($AQ$1:$AQ$70,Q$74+2),$AQ$1:$AX$70,8,FALSE))</f>
        <v>Couture Christophe</v>
      </c>
      <c r="Y77" s="1423" t="str">
        <f ca="1">IF(SMALL($AR$1:$AR$70,R$74+2)&gt;5,"",VLOOKUP(SMALL($AR$1:$AR$70,R$74+2),$AR$1:$AX$70,7,FALSE))</f>
        <v>Baudais Luc</v>
      </c>
      <c r="Z77" s="1423" t="str">
        <f ca="1">IF(SMALL($AS$1:$AS$70,S$74+2)&gt;5,"",VLOOKUP(SMALL($AS$1:$AS$70,S$74+2),$AS$1:$AX$70,6,FALSE))</f>
        <v>Mierzwa Julien</v>
      </c>
      <c r="AA77" s="1423" t="str">
        <f ca="1">IF(SMALL($AT$1:$AT$70,T$74+2)&gt;5,"",VLOOKUP(SMALL($AT$1:$AT$70,T$74+2),$AT$1:$AX$70,5,FALSE))</f>
        <v>Mierzwa Julien</v>
      </c>
      <c r="AB77" s="1423" t="str">
        <f ca="1">IF(SMALL($AU$1:$AU$70,U$74+2)&gt;5,"",VLOOKUP(SMALL($AU$1:$AU$70,U$74+2),$AU$1:$AX$70,4,FALSE))</f>
        <v>Mierzwa Julien</v>
      </c>
      <c r="AC77" s="1422" t="str">
        <f ca="1">IF(SMALL($AV$1:$AV$70,V$74+2)&gt;5,"",VLOOKUP(SMALL($AV$1:$AV$70,V$74+2),$AV$1:$AX$70,3,FALSE))</f>
        <v>Morin Léa</v>
      </c>
      <c r="AD77" s="1422" t="str">
        <f ca="1">IF(SMALL($AP$1:$AP$70,W$74+2)&gt;6,"",VLOOKUP(SMALL($AP$1:$AP$70,W$74+2),$AP$1:$AX$70,9,FALSE))</f>
        <v>Touche Rémy</v>
      </c>
      <c r="AE77" s="1423" t="str">
        <f ca="1">IF(SMALL($AQ$1:$AQ$70,X$74+2)&gt;6,"",VLOOKUP(SMALL($AQ$1:$AQ$70,X$74+2),$AQ$1:$AX$70,8,FALSE))</f>
        <v>Le Cam Alan</v>
      </c>
      <c r="AF77" s="1423" t="str">
        <f ca="1">IF(SMALL($AR$1:$AR$70,Y$74+2)&gt;6,"",VLOOKUP(SMALL($AR$1:$AR$70,Y$74+2),$AR$1:$AX$70,7,FALSE))</f>
        <v>Allano Antoine</v>
      </c>
      <c r="AG77" s="1423" t="str">
        <f ca="1">IF(SMALL($AS$1:$AS$70,Z$74+2)&gt;6,"",VLOOKUP(SMALL($AS$1:$AS$70,Z$74+2),$AS$1:$AX$70,6,FALSE))</f>
        <v>Morin Léa</v>
      </c>
      <c r="AH77" s="1423" t="str">
        <f ca="1">IF(SMALL($AT$1:$AT$70,AA$74+2)&gt;6,"",VLOOKUP(SMALL($AT$1:$AT$70,AA$74+2),$AT$1:$AX$70,5,FALSE))</f>
        <v>Le Cam Alan</v>
      </c>
      <c r="AI77" s="1423" t="str">
        <f ca="1">IF(SMALL($AU$1:$AU$70,AB$74+2)&gt;6,"",VLOOKUP(SMALL($AU$1:$AU$70,AB$74+2),$AU$1:$AX$70,4,FALSE))</f>
        <v>Touche Rémy</v>
      </c>
      <c r="AJ77" s="1422" t="str">
        <f ca="1">IF(SMALL($AV$1:$AV$70,AC$74+2)&gt;6,"",VLOOKUP(SMALL($AV$1:$AV$70,AC$74+2),$AV$1:$AX$70,3,FALSE))</f>
        <v>Vilain Benjamin</v>
      </c>
      <c r="AK77" s="1423" t="str">
        <f ca="1">IF(SMALL($AP$1:$AP$70,AD$74+2)&gt;7,"",VLOOKUP(SMALL($AP$1:$AP$70,AD$74+2),$AP$1:$AX$70,9,FALSE))</f>
        <v>Lecossier Michel</v>
      </c>
      <c r="AL77" s="1423" t="str">
        <f ca="1">IF(SMALL($AQ$1:$AQ$70,AE$74+2)&gt;7,"",VLOOKUP(SMALL($AQ$1:$AQ$70,AE$74+2),$AQ$1:$AX$70,8,FALSE))</f>
        <v>Touche Rémy</v>
      </c>
      <c r="AM77" s="1423" t="str">
        <f ca="1">IF(SMALL($AR$1:$AR$70,AF$74+2)&gt;7,"",VLOOKUP(SMALL($AR$1:$AR$70,AF$74+2),$AR$1:$AX$70,7,FALSE))</f>
        <v>Le Cam Corentin</v>
      </c>
      <c r="AN77" s="1423" t="str">
        <f ca="1">IF(SMALL($AS$1:$AS$70,AG$74+2)&gt;7,"",VLOOKUP(SMALL($AS$1:$AS$70,AG$74+2),$AS$1:$AX$70,6,FALSE))</f>
        <v>Dayot Franck</v>
      </c>
      <c r="AO77" s="1423" t="str">
        <f ca="1">IF(SMALL($AT$1:$AT$70,AH$74+2)&gt;7,"",VLOOKUP(SMALL($AT$1:$AT$70,AH$74+2),$AT$1:$AX$70,5,FALSE))</f>
        <v>Dayot Franck</v>
      </c>
      <c r="AP77" s="1423" t="str">
        <f ca="1">IF(SMALL($AU$1:$AU$70,AI$74+2)&gt;7,"",VLOOKUP(SMALL($AU$1:$AU$70,AI$74+2),$AU$1:$AX$70,4,FALSE))</f>
        <v>Touche Rémy</v>
      </c>
      <c r="AQ77" s="1422" t="str">
        <f ca="1">IF(SMALL($AV$1:$AV$70,AJ$74+2)&gt;7,"",VLOOKUP(SMALL($AV$1:$AV$70,AJ$74+2),$AV$1:$AX$70,3,FALSE))</f>
        <v>Lorho Mathieu</v>
      </c>
      <c r="AR77" s="1423" t="str">
        <f ca="1">IF(SMALL($AP$1:$AP$70,AK$74+2)&gt;8,"",VLOOKUP(SMALL($AP$1:$AP$70,AK$74+2),$AP$1:$AX$70,9,FALSE))</f>
        <v>Sail Rémy</v>
      </c>
      <c r="AS77" s="1423" t="str">
        <f ca="1">IF(SMALL($AQ$1:$AQ$70,AL$74+2)&gt;8,"",VLOOKUP(SMALL($AQ$1:$AQ$70,AL$74+2),$AQ$1:$AX$70,8,FALSE))</f>
        <v>Zaragoza José</v>
      </c>
      <c r="AT77" s="1423" t="str">
        <f ca="1">IF(SMALL($AR$1:$AR$70,AM$74+2)&gt;8,"",VLOOKUP(SMALL($AR$1:$AR$70,AM$74+2),$AR$1:$AX$70,7,FALSE))</f>
        <v>Sail Rémy</v>
      </c>
      <c r="AU77" s="1423" t="str">
        <f ca="1">IF(SMALL($AS$1:$AS$70,$AN$74+2)&gt;8,"",VLOOKUP(SMALL($AS$1:$AS$70,$AN$74+2),$AS$1:$AX$70,6,FALSE))</f>
        <v>Zaragoza Quentin</v>
      </c>
      <c r="AV77" s="1423" t="str">
        <f ca="1">IF(SMALL($AT$1:$AT$70,AO$74+2)&gt;8,"",VLOOKUP(SMALL($AT$1:$AT$70,AO$74+2),$AT$1:$AX$70,5,FALSE))</f>
        <v>Zaragoza José</v>
      </c>
      <c r="AW77" s="1423" t="str">
        <f ca="1">IF(SMALL($AU$1:$AU$70,AP$74+2)&gt;8,"",VLOOKUP(SMALL($AU$1:$AU$70,AP$74+2),$AU$1:$AX$70,4,FALSE))</f>
        <v>Bousseau Yannick</v>
      </c>
      <c r="AX77" s="1422" t="str">
        <f ca="1">IF(SMALL($AV$1:$AV$70,AQ$74+2)&gt;8,"",VLOOKUP(SMALL($AV$1:$AV$70,AQ$74+2),$AV$1:$AX$70,3,FALSE))</f>
        <v>Jugé Léana</v>
      </c>
      <c r="AY77" s="1587" t="str">
        <f ca="1">IF(SMALL($AP$1:$AP$70,AR$74+2)&gt;9,"",VLOOKUP(SMALL($AP$1:$AP$70,AR$74+2),$AP$1:$AX$70,9,FALSE))</f>
        <v>Sail Anthony</v>
      </c>
      <c r="AZ77" s="1587" t="str">
        <f ca="1">IF(SMALL($AQ$1:$AQ$70,AS$74+2)&gt;9,"",VLOOKUP(SMALL($AQ$1:$AQ$70,AS$74+2),$AQ$1:$AX$70,8,FALSE))</f>
        <v>Guehennec Benoit</v>
      </c>
      <c r="BA77" s="1423" t="str">
        <f ca="1">IF(SMALL($AR$1:$AR$70,AT$74+2)&gt;9,"",VLOOKUP(SMALL($AR$1:$AR$70,AT$74+2),$AR$1:$AX$70,7,FALSE))</f>
        <v>Guehennec Benoit</v>
      </c>
      <c r="BB77" s="1423" t="str">
        <f ca="1">IF(SMALL($AS$1:$AS$70,$AN$74+2)&gt;9,"",VLOOKUP(SMALL($AS$1:$AS$70,$AN$74+2),$AS$1:$AX$70,6,FALSE))</f>
        <v>Zaragoza Quentin</v>
      </c>
      <c r="BC77" s="1423" t="e">
        <f ca="1">IF(SMALL($AT$1:$AT$70,AV$74+2)&gt;9,"",VLOOKUP(SMALL($AT$1:$AT$70,AV$74+2),$AT$1:$AX$70,5,FALSE))</f>
        <v>#NUM!</v>
      </c>
      <c r="BD77" s="1423" t="str">
        <f ca="1">IF(SMALL($AU$1:$AU$70,AW$74+2)&gt;9,"",VLOOKUP(SMALL($AU$1:$AU$70,AW$74+2),$AU$1:$AX$70,4,FALSE))</f>
        <v>Ravel Serge</v>
      </c>
      <c r="BE77" s="1422" t="str">
        <f ca="1">IF(SMALL($AV$1:$AV$70,AX$74+2)&gt;9,"",VLOOKUP(SMALL($AV$1:$AV$70,AX$74+2),$AV$1:$AX$70,3,FALSE))</f>
        <v>Guillotin Marie-Paule</v>
      </c>
      <c r="BF77" s="769"/>
      <c r="BG77" s="769"/>
      <c r="BH77" s="769"/>
      <c r="BI77" s="769"/>
      <c r="BJ77" s="769"/>
      <c r="BK77" s="769"/>
      <c r="BL77" s="769"/>
      <c r="BM77" s="769"/>
      <c r="BN77" s="769"/>
      <c r="BO77" s="769"/>
      <c r="BP77" s="769"/>
      <c r="BQ77" s="769"/>
      <c r="BR77" s="769"/>
      <c r="BS77" s="769"/>
      <c r="BT77" s="769"/>
      <c r="BU77" s="769"/>
      <c r="BV77" s="1415"/>
      <c r="BW77" s="1415"/>
      <c r="BX77" s="1415"/>
      <c r="BY77" s="1415"/>
      <c r="BZ77" s="1415"/>
      <c r="CA77" s="1415"/>
      <c r="CB77" s="1415"/>
      <c r="CC77" s="1415"/>
      <c r="CD77" s="1415"/>
      <c r="CE77" s="1415"/>
      <c r="CF77" s="1415"/>
      <c r="CG77" s="1415"/>
      <c r="CH77" s="1415"/>
      <c r="CI77" s="1415"/>
      <c r="CJ77" s="1415"/>
      <c r="CK77" s="1415"/>
      <c r="CL77" s="1415"/>
      <c r="CM77" s="1415"/>
      <c r="CN77" s="1415"/>
      <c r="CO77" s="1406"/>
      <c r="CP77" s="81"/>
      <c r="CQ77" s="81"/>
      <c r="DC77" s="1403"/>
      <c r="DD77" s="1405"/>
      <c r="DF77" s="1404"/>
      <c r="DH77" s="86"/>
      <c r="DI77" s="86"/>
      <c r="DK77"/>
      <c r="DL77" s="769"/>
      <c r="DM77" s="554"/>
      <c r="DN77" s="554"/>
      <c r="DO77" s="1401"/>
      <c r="DP77" s="1400"/>
      <c r="DQ77"/>
      <c r="DR77"/>
    </row>
    <row r="78" spans="1:173" ht="15.75">
      <c r="A78" s="1418" t="s">
        <v>713</v>
      </c>
      <c r="B78" s="1423" t="str">
        <f ca="1">IF(SMALL('résultats (2)'!$AP$1:$AP$70,3)&gt;2,"",VLOOKUP(SMALL('résultats (2)'!$AP$1:$AP$70,3),'résultats (2)'!$AP$1:$AX$70,9,FALSE))</f>
        <v>Couture Nicolas</v>
      </c>
      <c r="C78" s="1423" t="str">
        <f ca="1">IF(SMALL('résultats (2)'!$AQ$1:$AQ$70,3)&gt;2,"",VLOOKUP(SMALL('résultats (2)'!$AQ$1:$AQ$70,3),'résultats (2)'!$AQ$1:$AQ$70:$AX$70,8,FALSE))</f>
        <v>Couture Nicolas</v>
      </c>
      <c r="D78" s="1423" t="str">
        <f ca="1">IF(SMALL('résultats (2)'!$AR$1:$AR$70,3)&gt;2,"",VLOOKUP(SMALL('résultats (2)'!$AR$1:$AR$70,3),'résultats (2)'!$AR$1:$AX$70,7,FALSE))</f>
        <v>Beyl Yann</v>
      </c>
      <c r="E78" s="1423" t="str">
        <f ca="1">IF(SMALL('résultats (2)'!$AS$1:$AS$70,3)&gt;2,"",VLOOKUP(SMALL('résultats (2)'!$AS$1:$AS$70,3),'résultats (2)'!$AS$1:$AX$70,6,FALSE))</f>
        <v>Couture Nicolas</v>
      </c>
      <c r="F78" s="1423" t="str">
        <f ca="1">IF(SMALL('résultats (2)'!$AT$1:$AT$70,3)&gt;2,"",VLOOKUP(SMALL('résultats (2)'!$AT$1:$AT$70,3),'résultats (2)'!$AT$1:$AX$70,5,FALSE))</f>
        <v>Nicolas Jérémy</v>
      </c>
      <c r="G78" s="1423" t="str">
        <f ca="1">IF(SMALL('résultats (2)'!$AU$1:$AU$70,3)&gt;2,"",VLOOKUP(SMALL('résultats (2)'!$AU$1:$AU$70,3),'résultats (2)'!$AU$1:$AX$70,4,FALSE))</f>
        <v>Couture Nicolas</v>
      </c>
      <c r="H78" s="1422" t="str">
        <f ca="1">IF(SMALL('résultats (2)'!$AV$1:$AV$70,3)&gt;2,"",VLOOKUP(SMALL('résultats (2)'!$AV$1:$AV$70,3),'résultats (2)'!$AV$1:$AX$70,3,FALSE))</f>
        <v>Morin Quentin</v>
      </c>
      <c r="I78" s="1423" t="str">
        <f ca="1">IF(SMALL($AP$1:$AP$70,B$74+3)&gt;3,"",VLOOKUP(SMALL($AP$1:$AP$70,B$74+3),$AP$1:$AX$70,9,FALSE))</f>
        <v>Faulkner Thierry</v>
      </c>
      <c r="J78" s="1423" t="str">
        <f ca="1">IF(SMALL($AQ$1:$AQ$70,C$74+3)&gt;3,"",VLOOKUP(SMALL($AQ$1:$AQ$70,C$74+3),$AQ$1:$AX$70,8,FALSE))</f>
        <v>Nicolas Jérémy</v>
      </c>
      <c r="K78" s="1423" t="str">
        <f ca="1">IF(SMALL($AR$1:$AR$70,D$74+3)&gt;3,"",VLOOKUP(SMALL($AR$1:$AR$70,D$74+3),$AR$1:$AX$70,7,FALSE))</f>
        <v>Cojean Youen</v>
      </c>
      <c r="L78" s="1423" t="str">
        <f ca="1">IF(SMALL($AS$1:$AS$70,E$74+3)&gt;3,"",VLOOKUP(SMALL($AS$1:$AS$70,E$74+3),$AS$1:$AX$70,6,FALSE))</f>
        <v>Morin Quentin</v>
      </c>
      <c r="M78" s="1423" t="str">
        <f ca="1">IF(SMALL($AT$1:$AT$70,F$74+3)&gt;3,"",VLOOKUP(SMALL($AT$1:$AT$70,F$74+3),$AT$1:$AX$70,5,FALSE))</f>
        <v>Roszak Clément</v>
      </c>
      <c r="N78" s="1423" t="str">
        <f ca="1">IF(SMALL($AU$1:$AU$70,G$74+3)&gt;3,"",VLOOKUP(SMALL($AU$1:$AU$70,G$74+3),$AU$1:$AX$70,4,FALSE))</f>
        <v>Hilton Franck</v>
      </c>
      <c r="O78" s="1422" t="str">
        <f ca="1">IF(SMALL($AV$1:$AV$70,H$74+3)&gt;3,"",VLOOKUP(SMALL($AV$1:$AV$70,H$74+3),$AV$1:$AX$70,3,FALSE))</f>
        <v>Faulkner Thierry</v>
      </c>
      <c r="P78" s="1423" t="str">
        <f ca="1">IF(SMALL($AP$1:$AP$70,I$74+3)&gt;4,"",VLOOKUP(SMALL($AP$1:$AP$70,I$74+3),$AP$1:$AX$70,9,FALSE))</f>
        <v>Morin Emmanuel</v>
      </c>
      <c r="Q78" s="1423" t="str">
        <f ca="1">IF(SMALL($AQ$1:$AQ$70,J$74+3)&gt;4,"",VLOOKUP(SMALL($AQ$1:$AQ$70,J$74+3),$AQ$1:$AX$70,8,FALSE))</f>
        <v>Morin Emmanuel</v>
      </c>
      <c r="R78" s="1423" t="str">
        <f ca="1">IF(SMALL($AR$1:$AR$70,K$74+3)&gt;4,"",VLOOKUP(SMALL($AR$1:$AR$70,K$74+3),$AR$1:$AX$70,7,FALSE))</f>
        <v>Morin Emmanuel</v>
      </c>
      <c r="S78" s="1423" t="str">
        <f ca="1">IF(SMALL($AS$1:$AS$70,L$74+3)&gt;4,"",VLOOKUP(SMALL($AS$1:$AS$70,L$74+3),$AS$1:$AX$70,6,FALSE))</f>
        <v>Morin Emmanuel</v>
      </c>
      <c r="T78" s="1423" t="str">
        <f ca="1">IF(SMALL($AT$1:$AT$70,M$74+3)&gt;4,"",VLOOKUP(SMALL($AT$1:$AT$70,M$74+3),$AT$1:$AX$70,5,FALSE))</f>
        <v/>
      </c>
      <c r="U78" s="1423" t="str">
        <f ca="1">IF(SMALL($AU$1:$AU$70,N$74+3)&gt;4,"",VLOOKUP(SMALL($AU$1:$AU$70,N$74+3),$AU$1:$AX$70,4,FALSE))</f>
        <v>Morin Emmanuel</v>
      </c>
      <c r="V78" s="1422" t="str">
        <f ca="1">IF(SMALL($AV$1:$AV$70,O$74+3)&gt;4,"",VLOOKUP(SMALL($AV$1:$AV$70,O$74+3),$AV$1:$AX$70,3,FALSE))</f>
        <v>Morin Emmanuel</v>
      </c>
      <c r="W78" s="1423" t="str">
        <f ca="1">IF(SMALL($AP$1:$AP$70,P$74+3)&gt;5,"",VLOOKUP(SMALL($AP$1:$AP$70,P$74+3),$AP$1:$AX$70,9,FALSE))</f>
        <v>Colombel Guy</v>
      </c>
      <c r="X78" s="1423" t="str">
        <f ca="1">IF(SMALL($AQ$1:$AQ$70,Q$74+3)&gt;5,"",VLOOKUP(SMALL($AQ$1:$AQ$70,Q$74+3),$AQ$1:$AX$70,8,FALSE))</f>
        <v>Morin Quentin</v>
      </c>
      <c r="Y78" s="1423" t="str">
        <f ca="1">IF(SMALL($AR$1:$AR$70,R$74+3)&gt;5,"",VLOOKUP(SMALL($AR$1:$AR$70,R$74+3),$AR$1:$AX$70,7,FALSE))</f>
        <v>Mierzwa Julien</v>
      </c>
      <c r="Z78" s="1423" t="str">
        <f ca="1">IF(SMALL($AS$1:$AS$70,S$74+3)&gt;5,"",VLOOKUP(SMALL($AS$1:$AS$70,S$74+3),$AS$1:$AX$70,6,FALSE))</f>
        <v>Couture Christophe</v>
      </c>
      <c r="AA78" s="1423" t="str">
        <f ca="1">IF(SMALL($AT$1:$AT$70,T$74+3)&gt;5,"",VLOOKUP(SMALL($AT$1:$AT$70,T$74+3),$AT$1:$AX$70,5,FALSE))</f>
        <v>Colombel Guy</v>
      </c>
      <c r="AB78" s="1423" t="str">
        <f ca="1">IF(SMALL($AU$1:$AU$70,U$74+3)&gt;5,"",VLOOKUP(SMALL($AU$1:$AU$70,U$74+3),$AU$1:$AX$70,4,FALSE))</f>
        <v>Baudais Luc</v>
      </c>
      <c r="AC78" s="1422" t="str">
        <f ca="1">IF(SMALL($AV$1:$AV$70,V$74+3)&gt;5,"",VLOOKUP(SMALL($AV$1:$AV$70,V$74+3),$AV$1:$AX$70,3,FALSE))</f>
        <v>Rochefort Reginald</v>
      </c>
      <c r="AD78" s="1422" t="str">
        <f ca="1">IF(SMALL($AP$1:$AP$70,W$74+3)&gt;6,"",VLOOKUP(SMALL($AP$1:$AP$70,W$74+3),$AP$1:$AX$70,9,FALSE))</f>
        <v>Le Cam Alan</v>
      </c>
      <c r="AE78" s="1423" t="str">
        <f ca="1">IF(SMALL($AQ$1:$AQ$70,X$74+3)&gt;6,"",VLOOKUP(SMALL($AQ$1:$AQ$70,X$74+3),$AQ$1:$AX$70,8,FALSE))</f>
        <v>Vilain Benjamin</v>
      </c>
      <c r="AF78" s="1423" t="str">
        <f ca="1">IF(SMALL($AR$1:$AR$70,Y$74+3)&gt;6,"",VLOOKUP(SMALL($AR$1:$AR$70,Y$74+3),$AR$1:$AX$70,7,FALSE))</f>
        <v>Touche Rémy</v>
      </c>
      <c r="AG78" s="1423" t="str">
        <f ca="1">IF(SMALL($AS$1:$AS$70,Z$74+3)&gt;6,"",VLOOKUP(SMALL($AS$1:$AS$70,Z$74+3),$AS$1:$AX$70,6,FALSE))</f>
        <v>Vilain Benjamin</v>
      </c>
      <c r="AH78" s="1423" t="str">
        <f ca="1">IF(SMALL($AT$1:$AT$70,AA$74+3)&gt;6,"",VLOOKUP(SMALL($AT$1:$AT$70,AA$74+3),$AT$1:$AX$70,5,FALSE))</f>
        <v>Vilain Benjamin</v>
      </c>
      <c r="AI78" s="1423" t="str">
        <f ca="1">IF(SMALL($AU$1:$AU$70,AB$74+3)&gt;6,"",VLOOKUP(SMALL($AU$1:$AU$70,AB$74+3),$AU$1:$AX$70,4,FALSE))</f>
        <v>Le Cam Alan</v>
      </c>
      <c r="AJ78" s="1422" t="str">
        <f ca="1">IF(SMALL($AV$1:$AV$70,AC$74+3)&gt;6,"",VLOOKUP(SMALL($AV$1:$AV$70,AC$74+3),$AV$1:$AX$70,3,FALSE))</f>
        <v>Allano Antoine</v>
      </c>
      <c r="AK78" s="1423" t="str">
        <f ca="1">IF(SMALL($AP$1:$AP$70,AD$74+3)&gt;7,"",VLOOKUP(SMALL($AP$1:$AP$70,AD$74+3),$AP$1:$AX$70,9,FALSE))</f>
        <v>Boulaire Emile</v>
      </c>
      <c r="AL78" s="1423" t="str">
        <f ca="1">IF(SMALL($AQ$1:$AQ$70,AE$74+3)&gt;7,"",VLOOKUP(SMALL($AQ$1:$AQ$70,AE$74+3),$AQ$1:$AX$70,8,FALSE))</f>
        <v>Boulaire Emile</v>
      </c>
      <c r="AM78" s="1423" t="str">
        <f ca="1">IF(SMALL($AR$1:$AR$70,AF$74+3)&gt;7,"",VLOOKUP(SMALL($AR$1:$AR$70,AF$74+3),$AR$1:$AX$70,7,FALSE))</f>
        <v>Lecossier Michel</v>
      </c>
      <c r="AN78" s="1423" t="str">
        <f ca="1">IF(SMALL($AS$1:$AS$70,AG$74+3)&gt;7,"",VLOOKUP(SMALL($AS$1:$AS$70,AG$74+3),$AS$1:$AX$70,6,FALSE))</f>
        <v>Boulaire Emile</v>
      </c>
      <c r="AO78" s="1423" t="str">
        <f ca="1">IF(SMALL($AT$1:$AT$70,AH$74+3)&gt;7,"",VLOOKUP(SMALL($AT$1:$AT$70,AH$74+3),$AT$1:$AX$70,5,FALSE))</f>
        <v>Le Cam Corentin</v>
      </c>
      <c r="AP78" s="1423" t="str">
        <f ca="1">IF(SMALL($AU$1:$AU$70,AI$74+3)&gt;7,"",VLOOKUP(SMALL($AU$1:$AU$70,AI$74+3),$AU$1:$AX$70,4,FALSE))</f>
        <v>Le Cam Alan</v>
      </c>
      <c r="AQ78" s="1422" t="str">
        <f ca="1">IF(SMALL($AV$1:$AV$70,AJ$74+3)&gt;7,"",VLOOKUP(SMALL($AV$1:$AV$70,AJ$74+3),$AV$1:$AX$70,3,FALSE))</f>
        <v>Dayot Franck</v>
      </c>
      <c r="AR78" s="1423" t="str">
        <f ca="1">IF(SMALL($AP$1:$AP$70,AK$74+3)&gt;8,"",VLOOKUP(SMALL($AP$1:$AP$70,AK$74+3),$AP$1:$AX$70,9,FALSE))</f>
        <v>Bousseau Yannick</v>
      </c>
      <c r="AS78" s="1423" t="str">
        <f ca="1">IF(SMALL($AQ$1:$AQ$70,AL$74+3)&gt;8,"",VLOOKUP(SMALL($AQ$1:$AQ$70,AL$74+3),$AQ$1:$AX$70,8,FALSE))</f>
        <v>Craineguy David</v>
      </c>
      <c r="AT78" s="1423" t="str">
        <f ca="1">IF(SMALL($AR$1:$AR$70,AM$74+3)&gt;8,"",VLOOKUP(SMALL($AR$1:$AR$70,AM$74+3),$AR$1:$AX$70,7,FALSE))</f>
        <v>Zaragoza José</v>
      </c>
      <c r="AU78" s="1423" t="str">
        <f ca="1">IF(SMALL($AS$1:$AS$70,$AN$74+3)&gt;8,"",VLOOKUP(SMALL($AS$1:$AS$70,$AN$74+3),$AS$1:$AX$70,6,FALSE))</f>
        <v>Jugé Léana</v>
      </c>
      <c r="AV78" s="1423" t="str">
        <f ca="1">IF(SMALL($AT$1:$AT$70,AO$74+3)&gt;8,"",VLOOKUP(SMALL($AT$1:$AT$70,AO$74+3),$AT$1:$AX$70,5,FALSE))</f>
        <v>Bousseau Yannick</v>
      </c>
      <c r="AW78" s="1423" t="str">
        <f ca="1">IF(SMALL($AU$1:$AU$70,AP$74+3)&gt;8,"",VLOOKUP(SMALL($AU$1:$AU$70,AP$74+3),$AU$1:$AX$70,4,FALSE))</f>
        <v>Cojean Gwendal</v>
      </c>
      <c r="AX78" s="1422" t="str">
        <f ca="1">IF(SMALL($AV$1:$AV$70,AQ$74+3)&gt;8,"",VLOOKUP(SMALL($AV$1:$AV$70,AQ$74+3),$AV$1:$AX$70,3,FALSE))</f>
        <v>Craineguy David</v>
      </c>
      <c r="AY78" s="1587" t="str">
        <f ca="1">IF(SMALL($AP$1:$AP$70,AR$74+3)&gt;9,"",VLOOKUP(SMALL($AP$1:$AP$70,AR$74+3),$AP$1:$AX$70,9,FALSE))</f>
        <v>Ravel Serge</v>
      </c>
      <c r="AZ78" s="1587" t="str">
        <f ca="1">IF(SMALL($AQ$1:$AQ$70,AS$74+3)&gt;9,"",VLOOKUP(SMALL($AQ$1:$AQ$70,AS$74+3),$AQ$1:$AX$70,8,FALSE))</f>
        <v>Jugé Léana</v>
      </c>
      <c r="BA78" s="1423" t="str">
        <f ca="1">IF(SMALL($AR$1:$AR$70,AT$74+3)&gt;9,"",VLOOKUP(SMALL($AR$1:$AR$70,AT$74+3),$AR$1:$AX$70,7,FALSE))</f>
        <v>Guillotin Marie-Paule</v>
      </c>
      <c r="BB78" s="1423" t="str">
        <f ca="1">IF(SMALL($AS$1:$AS$70,$AN$74+3)&gt;9,"",VLOOKUP(SMALL($AS$1:$AS$70,$AN$74+3),$AS$1:$AX$70,6,FALSE))</f>
        <v>Jugé Léana</v>
      </c>
      <c r="BC78" s="1423" t="e">
        <f ca="1">IF(SMALL($AT$1:$AT$70,AV$74+3)&gt;9,"",VLOOKUP(SMALL($AT$1:$AT$70,AV$74+3),$AT$1:$AX$70,5,FALSE))</f>
        <v>#NUM!</v>
      </c>
      <c r="BD78" s="1423" t="str">
        <f ca="1">IF(SMALL($AU$1:$AU$70,AW$74+3)&gt;9,"",VLOOKUP(SMALL($AU$1:$AU$70,AW$74+3),$AU$1:$AX$70,4,FALSE))</f>
        <v>Jugé Léana</v>
      </c>
      <c r="BE78" s="1422" t="str">
        <f ca="1">IF(SMALL($AV$1:$AV$70,AX$74+3)&gt;9,"",VLOOKUP(SMALL($AV$1:$AV$70,AX$74+3),$AV$1:$AX$70,3,FALSE))</f>
        <v>Guehennec Benoit</v>
      </c>
      <c r="BF78" s="769"/>
      <c r="BG78" s="769"/>
      <c r="BH78" s="769"/>
      <c r="BI78" s="769"/>
      <c r="BJ78" s="769"/>
      <c r="BK78" s="769"/>
      <c r="BL78" s="769"/>
      <c r="BM78" s="769"/>
      <c r="BN78" s="769"/>
      <c r="BO78" s="769"/>
      <c r="BP78" s="769"/>
      <c r="BQ78" s="769"/>
      <c r="BR78" s="769"/>
      <c r="BS78" s="769"/>
      <c r="BT78" s="769"/>
      <c r="BU78" s="769"/>
      <c r="BV78" s="1415"/>
      <c r="BW78" s="1415"/>
      <c r="BX78" s="1415"/>
      <c r="BY78" s="1415"/>
      <c r="BZ78" s="1415"/>
      <c r="CA78" s="1415"/>
      <c r="CB78" s="1415"/>
      <c r="CC78" s="1415"/>
      <c r="CD78" s="1415"/>
      <c r="CE78" s="1415"/>
      <c r="CF78" s="1415"/>
      <c r="CG78" s="1415"/>
      <c r="CH78" s="1415"/>
      <c r="CI78" s="1415"/>
      <c r="CJ78" s="1415"/>
      <c r="CK78" s="1415"/>
      <c r="CL78" s="1415"/>
      <c r="CM78" s="1415"/>
      <c r="CN78" s="1415"/>
      <c r="CO78" s="1406"/>
      <c r="CP78" s="81"/>
      <c r="CQ78" s="81"/>
      <c r="DC78" s="1403"/>
      <c r="DD78" s="1405"/>
      <c r="DF78" s="1404"/>
      <c r="DH78" s="86"/>
      <c r="DI78" s="86"/>
      <c r="DK78"/>
      <c r="DL78" s="769"/>
      <c r="DM78" s="554"/>
      <c r="DN78" s="554"/>
      <c r="DO78" s="1401"/>
      <c r="DP78" s="1400"/>
      <c r="DQ78"/>
      <c r="DR78"/>
    </row>
    <row r="79" spans="1:173" ht="15.75">
      <c r="A79" s="769" t="str">
        <f>[10]équipes!A16</f>
        <v>Muzillac TT 3</v>
      </c>
      <c r="B79" s="1423" t="str">
        <f ca="1">IF(SMALL('résultats (2)'!$AP$1:$AP$70,4)&gt;2,"",VLOOKUP(SMALL('résultats (2)'!$AP$1:$AP$70,4),'résultats (2)'!$AP$1:$AX$70,9,FALSE))</f>
        <v>Brient Jean-François</v>
      </c>
      <c r="C79" s="1423" t="str">
        <f ca="1">IF(SMALL('résultats (2)'!$AQ$1:$AQ$70,4)&gt;2,"",VLOOKUP(SMALL('résultats (2)'!$AQ$1:$AQ$70,4),'résultats (2)'!$AQ$1:$AQ$70:$AX$70,8,FALSE))</f>
        <v>Flégeau Matthieu</v>
      </c>
      <c r="D79" s="1423" t="str">
        <f ca="1">IF(SMALL('résultats (2)'!$AR$1:$AR$70,4)&gt;2,"",VLOOKUP(SMALL('résultats (2)'!$AR$1:$AR$70,4),'résultats (2)'!$AR$1:$AX$70,7,FALSE))</f>
        <v>Flégeau Matthieu</v>
      </c>
      <c r="E79" s="1423" t="str">
        <f ca="1">IF(SMALL('résultats (2)'!$AS$1:$AS$70,4)&gt;2,"",VLOOKUP(SMALL('résultats (2)'!$AS$1:$AS$70,4),'résultats (2)'!$AS$1:$AX$70,6,FALSE))</f>
        <v>Brient Jean-François</v>
      </c>
      <c r="F79" s="1423" t="str">
        <f ca="1">IF(SMALL('résultats (2)'!$AT$1:$AT$70,4)&gt;2,"",VLOOKUP(SMALL('résultats (2)'!$AT$1:$AT$70,4),'résultats (2)'!$AT$1:$AX$70,5,FALSE))</f>
        <v>Beyl Yann</v>
      </c>
      <c r="G79" s="1423" t="str">
        <f ca="1">IF(SMALL('résultats (2)'!$AU$1:$AU$70,4)&gt;2,"",VLOOKUP(SMALL('résultats (2)'!$AU$1:$AU$70,4),'résultats (2)'!$AU$1:$AX$70,4,FALSE))</f>
        <v>Roszak Clément</v>
      </c>
      <c r="H79" s="1422" t="str">
        <f ca="1">IF(SMALL('résultats (2)'!$AV$1:$AV$70,4)&gt;2,"",VLOOKUP(SMALL('résultats (2)'!$AV$1:$AV$70,4),'résultats (2)'!$AV$1:$AX$70,3,FALSE))</f>
        <v>Nicolas Jérémy</v>
      </c>
      <c r="I79" s="1423" t="str">
        <f ca="1">IF(SMALL($AP$1:$AP$70,B$74+4)&gt;3,"",VLOOKUP(SMALL($AP$1:$AP$70,B$74+4),$AP$1:$AX$70,9,FALSE))</f>
        <v>Roszak Clément</v>
      </c>
      <c r="J79" s="1423" t="str">
        <f ca="1">IF(SMALL($AQ$1:$AQ$70,C$74+4)&gt;3,"",VLOOKUP(SMALL($AQ$1:$AQ$70,C$74+4),$AQ$1:$AX$70,8,FALSE))</f>
        <v>Roszak Clément</v>
      </c>
      <c r="K79" s="1423" t="str">
        <f ca="1">IF(SMALL($AR$1:$AR$70,D$74+4)&gt;3,"",VLOOKUP(SMALL($AR$1:$AR$70,D$74+4),$AR$1:$AX$70,7,FALSE))</f>
        <v>Roszak Martin</v>
      </c>
      <c r="L79" s="1423" t="str">
        <f ca="1">IF(SMALL($AS$1:$AS$70,E$74+4)&gt;3,"",VLOOKUP(SMALL($AS$1:$AS$70,E$74+4),$AS$1:$AX$70,6,FALSE))</f>
        <v>Faulkner Thierry</v>
      </c>
      <c r="M79" s="1423" t="str">
        <f ca="1">IF(SMALL($AT$1:$AT$70,F$74+4)&gt;3,"",VLOOKUP(SMALL($AT$1:$AT$70,F$74+4),$AT$1:$AX$70,5,FALSE))</f>
        <v>Morin Quentin</v>
      </c>
      <c r="N79" s="1423" t="str">
        <f ca="1">IF(SMALL($AU$1:$AU$70,G$74+4)&gt;3,"",VLOOKUP(SMALL($AU$1:$AU$70,G$74+4),$AU$1:$AX$70,4,FALSE))</f>
        <v>Faulkner Thierry</v>
      </c>
      <c r="O79" s="1422" t="str">
        <f ca="1">IF(SMALL($AV$1:$AV$70,H$74+4)&gt;3,"",VLOOKUP(SMALL($AV$1:$AV$70,H$74+4),$AV$1:$AX$70,3,FALSE))</f>
        <v>Roszak Martin</v>
      </c>
      <c r="P79" s="1423" t="str">
        <f ca="1">IF(SMALL($AP$1:$AP$70,I$74+4)&gt;4,"",VLOOKUP(SMALL($AP$1:$AP$70,I$74+4),$AP$1:$AX$70,9,FALSE))</f>
        <v>Le Garnec Sacha</v>
      </c>
      <c r="Q79" s="1423" t="str">
        <f ca="1">IF(SMALL($AQ$1:$AQ$70,J$74+4)&gt;4,"",VLOOKUP(SMALL($AQ$1:$AQ$70,J$74+4),$AQ$1:$AX$70,8,FALSE))</f>
        <v>Le Garnec Sacha</v>
      </c>
      <c r="R79" s="1423" t="str">
        <f ca="1">IF(SMALL($AR$1:$AR$70,K$74+4)&gt;4,"",VLOOKUP(SMALL($AR$1:$AR$70,K$74+4),$AR$1:$AX$70,7,FALSE))</f>
        <v>Hilton Franck</v>
      </c>
      <c r="S79" s="1423" t="str">
        <f ca="1">IF(SMALL($AS$1:$AS$70,L$74+4)&gt;4,"",VLOOKUP(SMALL($AS$1:$AS$70,L$74+4),$AS$1:$AX$70,6,FALSE))</f>
        <v>Cojean Youen</v>
      </c>
      <c r="T79" s="1423" t="str">
        <f ca="1">IF(SMALL($AT$1:$AT$70,M$74+4)&gt;4,"",VLOOKUP(SMALL($AT$1:$AT$70,M$74+4),$AT$1:$AX$70,5,FALSE))</f>
        <v/>
      </c>
      <c r="U79" s="1423" t="str">
        <f ca="1">IF(SMALL($AU$1:$AU$70,N$74+4)&gt;4,"",VLOOKUP(SMALL($AU$1:$AU$70,N$74+4),$AU$1:$AX$70,4,FALSE))</f>
        <v>Vilain Benjamin</v>
      </c>
      <c r="V79" s="1422" t="str">
        <f ca="1">IF(SMALL($AV$1:$AV$70,O$74+4)&gt;4,"",VLOOKUP(SMALL($AV$1:$AV$70,O$74+4),$AV$1:$AX$70,3,FALSE))</f>
        <v/>
      </c>
      <c r="W79" s="1423" t="str">
        <f ca="1">IF(SMALL($AP$1:$AP$70,P$74+4)&gt;5,"",VLOOKUP(SMALL($AP$1:$AP$70,P$74+4),$AP$1:$AX$70,9,FALSE))</f>
        <v>Baudais Luc</v>
      </c>
      <c r="X79" s="1423" t="str">
        <f ca="1">IF(SMALL($AQ$1:$AQ$70,Q$74+4)&gt;5,"",VLOOKUP(SMALL($AQ$1:$AQ$70,Q$74+4),$AQ$1:$AX$70,8,FALSE))</f>
        <v>Rochefort Reginald</v>
      </c>
      <c r="Y79" s="1423" t="str">
        <f ca="1">IF(SMALL($AR$1:$AR$70,R$74+4)&gt;5,"",VLOOKUP(SMALL($AR$1:$AR$70,R$74+4),$AR$1:$AX$70,7,FALSE))</f>
        <v>Rochefort Reginald</v>
      </c>
      <c r="Z79" s="1423" t="str">
        <f ca="1">IF(SMALL($AS$1:$AS$70,S$74+4)&gt;5,"",VLOOKUP(SMALL($AS$1:$AS$70,S$74+4),$AS$1:$AX$70,6,FALSE))</f>
        <v>Baudais Luc</v>
      </c>
      <c r="AA79" s="1423" t="str">
        <f ca="1">IF(SMALL($AT$1:$AT$70,T$74+4)&gt;5,"",VLOOKUP(SMALL($AT$1:$AT$70,T$74+4),$AT$1:$AX$70,5,FALSE))</f>
        <v>Rochefort Reginald</v>
      </c>
      <c r="AB79" s="1423" t="str">
        <f ca="1">IF(SMALL($AU$1:$AU$70,U$74+4)&gt;5,"",VLOOKUP(SMALL($AU$1:$AU$70,U$74+4),$AU$1:$AX$70,4,FALSE))</f>
        <v>Rochefort Reginald</v>
      </c>
      <c r="AC79" s="1422" t="str">
        <f ca="1">IF(SMALL($AV$1:$AV$70,V$74+4)&gt;5,"",VLOOKUP(SMALL($AV$1:$AV$70,V$74+4),$AV$1:$AX$70,3,FALSE))</f>
        <v/>
      </c>
      <c r="AD79" s="1422" t="str">
        <f ca="1">IF(SMALL($AP$1:$AP$70,W$74+4)&gt;6,"",VLOOKUP(SMALL($AP$1:$AP$70,W$74+4),$AP$1:$AX$70,9,FALSE))</f>
        <v>Allano Antoine</v>
      </c>
      <c r="AE79" s="1423" t="str">
        <f ca="1">IF(SMALL($AQ$1:$AQ$70,X$74+4)&gt;6,"",VLOOKUP(SMALL($AQ$1:$AQ$70,X$74+4),$AQ$1:$AX$70,8,FALSE))</f>
        <v>Morin Léa</v>
      </c>
      <c r="AF79" s="1423" t="str">
        <f ca="1">IF(SMALL($AR$1:$AR$70,Y$74+4)&gt;6,"",VLOOKUP(SMALL($AR$1:$AR$70,Y$74+4),$AR$1:$AX$70,7,FALSE))</f>
        <v>Le Cam Alan</v>
      </c>
      <c r="AG79" s="1423" t="str">
        <f ca="1">IF(SMALL($AS$1:$AS$70,Z$74+4)&gt;6,"",VLOOKUP(SMALL($AS$1:$AS$70,Z$74+4),$AS$1:$AX$70,6,FALSE))</f>
        <v>Touche Rémy</v>
      </c>
      <c r="AH79" s="1423" t="str">
        <f ca="1">IF(SMALL($AT$1:$AT$70,AA$74+4)&gt;6,"",VLOOKUP(SMALL($AT$1:$AT$70,AA$74+4),$AT$1:$AX$70,5,FALSE))</f>
        <v>Touche Rémy</v>
      </c>
      <c r="AI79" s="1423" t="str">
        <f ca="1">IF(SMALL($AU$1:$AU$70,AB$74+4)&gt;6,"",VLOOKUP(SMALL($AU$1:$AU$70,AB$74+4),$AU$1:$AX$70,4,FALSE))</f>
        <v>Morin Léa</v>
      </c>
      <c r="AJ79" s="1422" t="str">
        <f ca="1">IF(SMALL($AV$1:$AV$70,AC$74+4)&gt;6,"",VLOOKUP(SMALL($AV$1:$AV$70,AC$74+4),$AV$1:$AX$70,3,FALSE))</f>
        <v>Le Cam Corentin</v>
      </c>
      <c r="AK79" s="1423" t="str">
        <f ca="1">IF(SMALL($AP$1:$AP$70,AD$74+4)&gt;7,"",VLOOKUP(SMALL($AP$1:$AP$70,AD$74+4),$AP$1:$AX$70,9,FALSE))</f>
        <v>Dayot Franck</v>
      </c>
      <c r="AL79" s="1423" t="str">
        <f ca="1">IF(SMALL($AQ$1:$AQ$70,AE$74+4)&gt;7,"",VLOOKUP(SMALL($AQ$1:$AQ$70,AE$74+4),$AQ$1:$AX$70,8,FALSE))</f>
        <v>Lecossier Michel</v>
      </c>
      <c r="AM79" s="1423" t="str">
        <f ca="1">IF(SMALL($AR$1:$AR$70,AF$74+4)&gt;7,"",VLOOKUP(SMALL($AR$1:$AR$70,AF$74+4),$AR$1:$AX$70,7,FALSE))</f>
        <v>Boulaire Emile</v>
      </c>
      <c r="AN79" s="1423" t="str">
        <f ca="1">IF(SMALL($AS$1:$AS$70,AG$74+4)&gt;7,"",VLOOKUP(SMALL($AS$1:$AS$70,AG$74+4),$AS$1:$AX$70,6,FALSE))</f>
        <v>Lorho Mathieu</v>
      </c>
      <c r="AO79" s="1423" t="str">
        <f ca="1">IF(SMALL($AT$1:$AT$70,AH$74+4)&gt;7,"",VLOOKUP(SMALL($AT$1:$AT$70,AH$74+4),$AT$1:$AX$70,5,FALSE))</f>
        <v>Lorho Mathieu</v>
      </c>
      <c r="AP79" s="1423" t="str">
        <f ca="1">IF(SMALL($AU$1:$AU$70,AI$74+4)&gt;7,"",VLOOKUP(SMALL($AU$1:$AU$70,AI$74+4),$AU$1:$AX$70,4,FALSE))</f>
        <v>Morin Léa</v>
      </c>
      <c r="AQ79" s="1422" t="str">
        <f ca="1">IF(SMALL($AV$1:$AV$70,AJ$74+4)&gt;7,"",VLOOKUP(SMALL($AV$1:$AV$70,AJ$74+4),$AV$1:$AX$70,3,FALSE))</f>
        <v>Lecossier Michel</v>
      </c>
      <c r="AR79" s="1423" t="str">
        <f ca="1">IF(SMALL($AP$1:$AP$70,AK$74+4)&gt;8,"",VLOOKUP(SMALL($AP$1:$AP$70,AK$74+4),$AP$1:$AX$70,9,FALSE))</f>
        <v>Zaragoza Quentin</v>
      </c>
      <c r="AS79" s="1423" t="str">
        <f ca="1">IF(SMALL($AQ$1:$AQ$70,AL$74+4)&gt;8,"",VLOOKUP(SMALL($AQ$1:$AQ$70,AL$74+4),$AQ$1:$AX$70,8,FALSE))</f>
        <v>Zaragoza Quentin</v>
      </c>
      <c r="AT79" s="1423" t="str">
        <f ca="1">IF(SMALL($AR$1:$AR$70,AM$74+4)&gt;8,"",VLOOKUP(SMALL($AR$1:$AR$70,AM$74+4),$AR$1:$AX$70,7,FALSE))</f>
        <v>Zaragoza Quentin</v>
      </c>
      <c r="AU79" s="1423" t="str">
        <f ca="1">IF(SMALL($AS$1:$AS$70,$AN$74+4)&gt;8,"",VLOOKUP(SMALL($AS$1:$AS$70,$AN$74+4),$AS$1:$AX$70,6,FALSE))</f>
        <v>Bousseau Yannick</v>
      </c>
      <c r="AV79" s="1423" t="str">
        <f ca="1">IF(SMALL($AT$1:$AT$70,AO$74+4)&gt;8,"",VLOOKUP(SMALL($AT$1:$AT$70,AO$74+4),$AT$1:$AX$70,5,FALSE))</f>
        <v>Craineguy David</v>
      </c>
      <c r="AW79" s="1423" t="str">
        <f ca="1">IF(SMALL($AU$1:$AU$70,AP$74+4)&gt;8,"",VLOOKUP(SMALL($AU$1:$AU$70,AP$74+4),$AU$1:$AX$70,4,FALSE))</f>
        <v>Ayoul-Bellot Thais</v>
      </c>
      <c r="AX79" s="1422" t="str">
        <f ca="1">IF(SMALL($AV$1:$AV$70,AQ$74+4)&gt;8,"",VLOOKUP(SMALL($AV$1:$AV$70,AQ$74+4),$AV$1:$AX$70,3,FALSE))</f>
        <v>Zaragoza Quentin</v>
      </c>
      <c r="AY79" s="1587" t="str">
        <f ca="1">IF(SMALL($AP$1:$AP$70,AR$74+4)&gt;9,"",VLOOKUP(SMALL($AP$1:$AP$70,AR$74+4),$AP$1:$AX$70,9,FALSE))</f>
        <v>Guillotin Marie-Paule</v>
      </c>
      <c r="AZ79" s="1587" t="str">
        <f ca="1">IF(SMALL($AQ$1:$AQ$70,AS$74+4)&gt;9,"",VLOOKUP(SMALL($AQ$1:$AQ$70,AS$74+4),$AQ$1:$AX$70,8,FALSE))</f>
        <v>Sail Anthony</v>
      </c>
      <c r="BA79" s="1423" t="str">
        <f ca="1">IF(SMALL($AR$1:$AR$70,AT$74+4)&gt;9,"",VLOOKUP(SMALL($AR$1:$AR$70,AT$74+4),$AR$1:$AX$70,7,FALSE))</f>
        <v>Sail Anthony</v>
      </c>
      <c r="BB79" s="1423" t="str">
        <f ca="1">IF(SMALL($AS$1:$AS$70,$AN$74+4)&gt;9,"",VLOOKUP(SMALL($AS$1:$AS$70,$AN$74+4),$AS$1:$AX$70,6,FALSE))</f>
        <v>Bousseau Yannick</v>
      </c>
      <c r="BC79" s="1423" t="e">
        <f ca="1">IF(SMALL($AT$1:$AT$70,AV$74+4)&gt;9,"",VLOOKUP(SMALL($AT$1:$AT$70,AV$74+4),$AT$1:$AX$70,5,FALSE))</f>
        <v>#NUM!</v>
      </c>
      <c r="BD79" s="1423" t="str">
        <f ca="1">IF(SMALL($AU$1:$AU$70,AW$74+4)&gt;9,"",VLOOKUP(SMALL($AU$1:$AU$70,AW$74+4),$AU$1:$AX$70,4,FALSE))</f>
        <v>Sail Anthony</v>
      </c>
      <c r="BE79" s="1422" t="str">
        <f ca="1">IF(SMALL($AV$1:$AV$70,AX$74+4)&gt;9,"",VLOOKUP(SMALL($AV$1:$AV$70,AX$74+4),$AV$1:$AX$70,3,FALSE))</f>
        <v>Sail Anthony</v>
      </c>
      <c r="BF79" s="769"/>
      <c r="BG79" s="769"/>
      <c r="BH79" s="769"/>
      <c r="BI79" s="769"/>
      <c r="BJ79" s="769"/>
      <c r="BK79" s="769"/>
      <c r="BL79" s="769"/>
      <c r="BM79" s="769"/>
      <c r="BN79" s="769"/>
      <c r="BO79" s="769"/>
      <c r="BP79" s="769"/>
      <c r="BQ79" s="769"/>
      <c r="BR79" s="769"/>
      <c r="BS79" s="769"/>
      <c r="BT79" s="769"/>
      <c r="BU79" s="769"/>
      <c r="BV79" s="1415"/>
      <c r="BW79" s="1415"/>
      <c r="BX79" s="1415"/>
      <c r="BY79" s="1415"/>
      <c r="BZ79" s="1415"/>
      <c r="CA79" s="1415"/>
      <c r="CB79" s="1415"/>
      <c r="CC79" s="1415"/>
      <c r="CD79" s="1415"/>
      <c r="CE79" s="1415"/>
      <c r="CF79" s="1415"/>
      <c r="CG79" s="1415"/>
      <c r="CH79" s="1415"/>
      <c r="CI79" s="1415"/>
      <c r="CJ79" s="1415"/>
      <c r="CK79" s="1415"/>
      <c r="CL79" s="1415"/>
      <c r="CM79" s="1415"/>
      <c r="CN79" s="1415"/>
      <c r="CO79" s="1406"/>
      <c r="CP79" s="81"/>
      <c r="CQ79" s="81"/>
      <c r="DC79" s="1403"/>
      <c r="DD79" s="1405"/>
      <c r="DF79" s="1404"/>
      <c r="DH79" s="86"/>
      <c r="DI79" s="86"/>
      <c r="DK79"/>
      <c r="DL79" s="769"/>
      <c r="DM79" s="554"/>
      <c r="DN79" s="554"/>
      <c r="DO79" s="1401"/>
      <c r="DP79" s="1400"/>
      <c r="DQ79"/>
      <c r="DR79"/>
    </row>
    <row r="80" spans="1:173" ht="15.75">
      <c r="A80" s="1418" t="s">
        <v>712</v>
      </c>
      <c r="B80" s="1423" t="str">
        <f ca="1">IF(SMALL('résultats (2)'!$AP$1:$AP$70,5)&gt;2,"",VLOOKUP(SMALL('résultats (2)'!$AP$1:$AP$70,5),'résultats (2)'!$AP$1:$AX$70,9,FALSE))</f>
        <v/>
      </c>
      <c r="C80" s="1423" t="str">
        <f ca="1">IF(SMALL('résultats (2)'!$AQ$1:$AQ$70,5)&gt;2,"",VLOOKUP(SMALL('résultats (2)'!$AQ$1:$AQ$70,5),'résultats (2)'!$AQ$1:$AQ$70:$AX$70,8,FALSE))</f>
        <v/>
      </c>
      <c r="D80" s="1423" t="str">
        <f ca="1">IF(SMALL('résultats (2)'!$AR$1:$AR$70,5)&gt;2,"",VLOOKUP(SMALL('résultats (2)'!$AR$1:$AR$70,5),'résultats (2)'!$AR$1:$AX$70,7,FALSE))</f>
        <v/>
      </c>
      <c r="E80" s="1423" t="str">
        <f ca="1">IF(SMALL('résultats (2)'!$AS$1:$AS$70,5)&gt;2,"",VLOOKUP(SMALL('résultats (2)'!$AS$1:$AS$70,5),'résultats (2)'!$AS$1:$AX$70,6,FALSE))</f>
        <v/>
      </c>
      <c r="F80" s="1423" t="str">
        <f ca="1">IF(SMALL('résultats (2)'!$AT$1:$AT$70,5)&gt;2,"",VLOOKUP(SMALL('résultats (2)'!$AT$1:$AT$70,5),'résultats (2)'!$AT$1:$AX$70,5,FALSE))</f>
        <v/>
      </c>
      <c r="G80" s="1423" t="str">
        <f ca="1">IF(SMALL('résultats (2)'!$AU$1:$AU$70,5)&gt;2,"",VLOOKUP(SMALL('résultats (2)'!$AU$1:$AU$70,5),'résultats (2)'!$AU$1:$AX$70,4,FALSE))</f>
        <v/>
      </c>
      <c r="H80" s="1422" t="str">
        <f ca="1">IF(SMALL('résultats (2)'!$AV$1:$AV$70,5)&gt;2,"",VLOOKUP(SMALL('résultats (2)'!$AV$1:$AV$70,5),'résultats (2)'!$AV$1:$AX$70,3,FALSE))</f>
        <v/>
      </c>
      <c r="I80" s="1423" t="str">
        <f ca="1">IF(SMALL($AP$1:$AP$70,B$74+5)&gt;3,"",VLOOKUP(SMALL($AP$1:$AP$70,B$74+5),$AP$1:$AX$70,9,FALSE))</f>
        <v/>
      </c>
      <c r="J80" s="1423" t="str">
        <f ca="1">IF(SMALL($AQ$1:$AQ$70,C$74+5)&gt;3,"",VLOOKUP(SMALL($AQ$1:$AQ$70,C$74+5),$AQ$1:$AX$70,8,FALSE))</f>
        <v/>
      </c>
      <c r="K80" s="1423" t="str">
        <f ca="1">IF(SMALL($AR$1:$AR$70,D$74+5)&gt;3,"",VLOOKUP(SMALL($AR$1:$AR$70,D$74+5),$AR$1:$AX$70,7,FALSE))</f>
        <v/>
      </c>
      <c r="L80" s="1423" t="str">
        <f ca="1">IF(SMALL($AS$1:$AS$70,E$74+5)&gt;3,"",VLOOKUP(SMALL($AS$1:$AS$70,E$74+5),$AS$1:$AX$70,6,FALSE))</f>
        <v/>
      </c>
      <c r="M80" s="1423" t="str">
        <f ca="1">IF(SMALL($AT$1:$AT$70,F$74+5)&gt;3,"",VLOOKUP(SMALL($AT$1:$AT$70,F$74+5),$AT$1:$AX$70,5,FALSE))</f>
        <v/>
      </c>
      <c r="N80" s="1423" t="str">
        <f ca="1">IF(SMALL($AU$1:$AU$70,G$74+5)&gt;3,"",VLOOKUP(SMALL($AU$1:$AU$70,G$74+5),$AU$1:$AX$70,4,FALSE))</f>
        <v/>
      </c>
      <c r="O80" s="1422" t="str">
        <f ca="1">IF(SMALL($AV$1:$AV$70,H$74+5)&gt;3,"",VLOOKUP(SMALL($AV$1:$AV$70,H$74+5),$AV$1:$AX$70,3,FALSE))</f>
        <v/>
      </c>
      <c r="P80" s="1423" t="str">
        <f ca="1">IF(SMALL($AP$1:$AP$70,I$74+5)&gt;4,"",VLOOKUP(SMALL($AP$1:$AP$70,I$74+5),$AP$1:$AX$70,9,FALSE))</f>
        <v/>
      </c>
      <c r="Q80" s="1423" t="str">
        <f ca="1">IF(SMALL($AQ$1:$AQ$70,J$74+5)&gt;4,"",VLOOKUP(SMALL($AQ$1:$AQ$70,J$74+5),$AQ$1:$AX$70,8,FALSE))</f>
        <v/>
      </c>
      <c r="R80" s="1423" t="str">
        <f ca="1">IF(SMALL($AR$1:$AR$70,K$74+5)&gt;4,"",VLOOKUP(SMALL($AR$1:$AR$70,K$74+5),$AR$1:$AX$70,7,FALSE))</f>
        <v/>
      </c>
      <c r="S80" s="1423" t="str">
        <f ca="1">IF(SMALL($AS$1:$AS$70,L$74+5)&gt;4,"",VLOOKUP(SMALL($AS$1:$AS$70,L$74+5),$AS$1:$AX$70,6,FALSE))</f>
        <v/>
      </c>
      <c r="T80" s="1423" t="str">
        <f ca="1">IF(SMALL($AT$1:$AT$70,M$74+5)&gt;4,"",VLOOKUP(SMALL($AT$1:$AT$70,M$74+5),$AT$1:$AX$70,5,FALSE))</f>
        <v/>
      </c>
      <c r="U80" s="1423" t="str">
        <f ca="1">IF(SMALL($AU$1:$AU$70,N$74+5)&gt;4,"",VLOOKUP(SMALL($AU$1:$AU$70,N$74+5),$AU$1:$AX$70,4,FALSE))</f>
        <v/>
      </c>
      <c r="V80" s="1422" t="str">
        <f ca="1">IF(SMALL($AV$1:$AV$70,O$74+5)&gt;4,"",VLOOKUP(SMALL($AV$1:$AV$70,O$74+5),$AV$1:$AX$70,3,FALSE))</f>
        <v/>
      </c>
      <c r="W80" s="1423" t="str">
        <f ca="1">IF(SMALL($AP$1:$AP$70,P$74+5)&gt;5,"",VLOOKUP(SMALL($AP$1:$AP$70,P$74+5),$AP$1:$AX$70,9,FALSE))</f>
        <v/>
      </c>
      <c r="X80" s="1423" t="str">
        <f ca="1">IF(SMALL($AQ$1:$AQ$70,Q$74+5)&gt;5,"",VLOOKUP(SMALL($AQ$1:$AQ$70,Q$74+5),$AQ$1:$AX$70,8,FALSE))</f>
        <v/>
      </c>
      <c r="Y80" s="1423" t="str">
        <f ca="1">IF(SMALL($AR$1:$AR$70,R$74+5)&gt;5,"",VLOOKUP(SMALL($AR$1:$AR$70,R$74+5),$AR$1:$AX$70,7,FALSE))</f>
        <v/>
      </c>
      <c r="Z80" s="1423" t="str">
        <f ca="1">IF(SMALL($AS$1:$AS$70,S$74+5)&gt;5,"",VLOOKUP(SMALL($AS$1:$AS$70,S$74+5),$AS$1:$AX$70,6,FALSE))</f>
        <v/>
      </c>
      <c r="AA80" s="1423" t="str">
        <f ca="1">IF(SMALL($AT$1:$AT$70,T$74+5)&gt;5,"",VLOOKUP(SMALL($AT$1:$AT$70,T$74+5),$AT$1:$AX$70,5,FALSE))</f>
        <v/>
      </c>
      <c r="AB80" s="1423" t="str">
        <f ca="1">IF(SMALL($AU$1:$AU$70,U$74+5)&gt;5,"",VLOOKUP(SMALL($AU$1:$AU$70,U$74+5),$AU$1:$AX$70,4,FALSE))</f>
        <v/>
      </c>
      <c r="AC80" s="1422" t="str">
        <f ca="1">IF(SMALL($AV$1:$AV$70,V$74+5)&gt;5,"",VLOOKUP(SMALL($AV$1:$AV$70,V$74+5),$AV$1:$AX$70,3,FALSE))</f>
        <v/>
      </c>
      <c r="AD80" s="1422" t="str">
        <f ca="1">IF(SMALL($AP$1:$AP$70,W$74+5)&gt;6,"",VLOOKUP(SMALL($AP$1:$AP$70,W$74+5),$AP$1:$AX$70,9,FALSE))</f>
        <v/>
      </c>
      <c r="AE80" s="1423" t="str">
        <f ca="1">IF(SMALL($AQ$1:$AQ$70,X$74+5)&gt;6,"",VLOOKUP(SMALL($AQ$1:$AQ$70,X$74+5),$AQ$1:$AX$70,8,FALSE))</f>
        <v/>
      </c>
      <c r="AF80" s="1423" t="str">
        <f ca="1">IF(SMALL($AR$1:$AR$70,Y$74+5)&gt;6,"",VLOOKUP(SMALL($AR$1:$AR$70,Y$74+5),$AR$1:$AX$70,7,FALSE))</f>
        <v/>
      </c>
      <c r="AG80" s="1423" t="str">
        <f ca="1">IF(SMALL($AS$1:$AS$70,Z$74+5)&gt;6,"",VLOOKUP(SMALL($AS$1:$AS$70,Z$74+5),$AS$1:$AX$70,6,FALSE))</f>
        <v/>
      </c>
      <c r="AH80" s="1423" t="str">
        <f ca="1">IF(SMALL($AT$1:$AT$70,AA$74+5)&gt;6,"",VLOOKUP(SMALL($AT$1:$AT$70,AA$74+5),$AT$1:$AX$70,5,FALSE))</f>
        <v/>
      </c>
      <c r="AI80" s="1423" t="str">
        <f ca="1">IF(SMALL($AU$1:$AU$70,AB$74+5)&gt;6,"",VLOOKUP(SMALL($AU$1:$AU$70,AB$74+5),$AU$1:$AX$70,4,FALSE))</f>
        <v/>
      </c>
      <c r="AJ80" s="1422" t="str">
        <f ca="1">IF(SMALL($AV$1:$AV$70,AC$74+5)&gt;6,"",VLOOKUP(SMALL($AV$1:$AV$70,AC$74+5),$AV$1:$AX$70,3,FALSE))</f>
        <v/>
      </c>
      <c r="AK80" s="1423" t="str">
        <f ca="1">IF(SMALL($AP$1:$AP$70,AD$74+5)&gt;7,"",VLOOKUP(SMALL($AP$1:$AP$70,AD$74+5),$AP$1:$AX$70,9,FALSE))</f>
        <v/>
      </c>
      <c r="AL80" s="1423" t="str">
        <f ca="1">IF(SMALL($AQ$1:$AQ$70,AE$74+5)&gt;7,"",VLOOKUP(SMALL($AQ$1:$AQ$70,AE$74+5),$AQ$1:$AX$70,8,FALSE))</f>
        <v/>
      </c>
      <c r="AM80" s="1423" t="str">
        <f ca="1">IF(SMALL($AR$1:$AR$70,AF$74+5)&gt;7,"",VLOOKUP(SMALL($AR$1:$AR$70,AF$74+5),$AR$1:$AX$70,7,FALSE))</f>
        <v/>
      </c>
      <c r="AN80" s="1423" t="str">
        <f ca="1">IF(SMALL($AS$1:$AS$70,AG$74+5)&gt;7,"",VLOOKUP(SMALL($AS$1:$AS$70,AG$74+5),$AS$1:$AX$70,6,FALSE))</f>
        <v/>
      </c>
      <c r="AO80" s="1423" t="str">
        <f ca="1">IF(SMALL($AT$1:$AT$70,AH$74+5)&gt;7,"",VLOOKUP(SMALL($AT$1:$AT$70,AH$74+5),$AT$1:$AX$70,5,FALSE))</f>
        <v/>
      </c>
      <c r="AP80" s="1423" t="str">
        <f ca="1">IF(SMALL($AU$1:$AU$70,AI$74+5)&gt;7,"",VLOOKUP(SMALL($AU$1:$AU$70,AI$74+5),$AU$1:$AX$70,4,FALSE))</f>
        <v>Lecossier Michel</v>
      </c>
      <c r="AQ80" s="1422" t="str">
        <f ca="1">IF(SMALL($AV$1:$AV$70,AJ$74+5)&gt;7,"",VLOOKUP(SMALL($AV$1:$AV$70,AJ$74+5),$AV$1:$AX$70,3,FALSE))</f>
        <v/>
      </c>
      <c r="AR80" s="1423" t="str">
        <f ca="1">IF(SMALL($AP$1:$AP$70,AK$74+5)&gt;8,"",VLOOKUP(SMALL($AP$1:$AP$70,AK$74+5),$AP$1:$AX$70,9,FALSE))</f>
        <v/>
      </c>
      <c r="AS80" s="1423" t="str">
        <f ca="1">IF(SMALL($AQ$1:$AQ$70,AL$74+5)&gt;8,"",VLOOKUP(SMALL($AQ$1:$AQ$70,AL$74+5),$AQ$1:$AX$70,8,FALSE))</f>
        <v/>
      </c>
      <c r="AT80" s="1423" t="str">
        <f ca="1">IF(SMALL($AR$1:$AR$70,AM$74+5)&gt;8,"",VLOOKUP(SMALL($AR$1:$AR$70,AM$74+5),$AR$1:$AX$70,7,FALSE))</f>
        <v/>
      </c>
      <c r="AU80" s="1423" t="str">
        <f ca="1">IF(SMALL($AS$1:$AS$70,$AN$74+5)&gt;8,"",VLOOKUP(SMALL($AS$1:$AS$70,$AN$74+5),$AS$1:$AX$70,6,FALSE))</f>
        <v/>
      </c>
      <c r="AV80" s="1423" t="e">
        <f ca="1">IF(SMALL($AT$1:$AT$70,AO$74+5)&gt;8,"",VLOOKUP(SMALL($AT$1:$AT$70,AO$74+5),$AT$1:$AX$70,5,FALSE))</f>
        <v>#NUM!</v>
      </c>
      <c r="AW80" s="1423" t="str">
        <f ca="1">IF(SMALL($AU$1:$AU$70,AP$74+5)&gt;8,"",VLOOKUP(SMALL($AU$1:$AU$70,AP$74+5),$AU$1:$AX$70,4,FALSE))</f>
        <v/>
      </c>
      <c r="AX80" s="1422" t="str">
        <f ca="1">IF(SMALL($AV$1:$AV$70,AQ$74+5)&gt;8,"",VLOOKUP(SMALL($AV$1:$AV$70,AQ$74+5),$AV$1:$AX$70,3,FALSE))</f>
        <v/>
      </c>
      <c r="AY80" s="1587" t="e">
        <f ca="1">IF(SMALL($AP$1:$AP$70,AR$74+5)&gt;9,"",VLOOKUP(SMALL($AP$1:$AP$70,AR$74+5),$AP$1:$AX$70,9,FALSE))</f>
        <v>#NUM!</v>
      </c>
      <c r="AZ80" s="1587" t="e">
        <f ca="1">IF(SMALL($AQ$1:$AQ$70,AS$74+5)&gt;9,"",VLOOKUP(SMALL($AQ$1:$AQ$70,AS$74+5),$AQ$1:$AX$70,8,FALSE))</f>
        <v>#NUM!</v>
      </c>
      <c r="BA80" s="1423" t="e">
        <f ca="1">IF(SMALL($AR$1:$AR$70,AT$74+5)&gt;9,"",VLOOKUP(SMALL($AR$1:$AR$70,AT$74+5),$AR$1:$AX$70,7,FALSE))</f>
        <v>#NUM!</v>
      </c>
      <c r="BB80" s="1423" t="str">
        <f ca="1">IF(SMALL($AS$1:$AS$70,$AN$74+5)&gt;9,"",VLOOKUP(SMALL($AS$1:$AS$70,$AN$74+5),$AS$1:$AX$70,6,FALSE))</f>
        <v>Sail Anthony</v>
      </c>
      <c r="BC80" s="1423" t="e">
        <f ca="1">IF(SMALL($AT$1:$AT$70,AV$74+5)&gt;9,"",VLOOKUP(SMALL($AT$1:$AT$70,AV$74+5),$AT$1:$AX$70,5,FALSE))</f>
        <v>#NUM!</v>
      </c>
      <c r="BD80" s="1423" t="e">
        <f ca="1">IF(SMALL($AU$1:$AU$70,AW$74+5)&gt;9,"",VLOOKUP(SMALL($AU$1:$AU$70,AW$74+5),$AU$1:$AX$70,4,FALSE))</f>
        <v>#NUM!</v>
      </c>
      <c r="BE80" s="1422" t="e">
        <f ca="1">IF(SMALL($AV$1:$AV$70,AX$74+5)&gt;9,"",VLOOKUP(SMALL($AV$1:$AV$70,AX$74+5),$AV$1:$AX$70,3,FALSE))</f>
        <v>#NUM!</v>
      </c>
      <c r="BF80" s="769"/>
      <c r="BG80" s="769"/>
      <c r="BH80" s="769"/>
      <c r="BI80" s="769"/>
      <c r="BJ80" s="769"/>
      <c r="BK80" s="769"/>
      <c r="BL80" s="769"/>
      <c r="BM80" s="769"/>
      <c r="BN80" s="769"/>
      <c r="BO80" s="769"/>
      <c r="BP80" s="769"/>
      <c r="BQ80" s="769"/>
      <c r="BR80" s="769"/>
      <c r="BS80" s="769"/>
      <c r="BT80" s="769"/>
      <c r="BU80" s="769"/>
      <c r="BV80" s="1415"/>
      <c r="BW80" s="1415"/>
      <c r="BX80" s="1415"/>
      <c r="BY80" s="1415"/>
      <c r="BZ80" s="1415"/>
      <c r="CA80" s="1415"/>
      <c r="CB80" s="1415"/>
      <c r="CC80" s="1415"/>
      <c r="CD80" s="1415"/>
      <c r="CE80" s="1415"/>
      <c r="CF80" s="1415"/>
      <c r="CG80" s="1415"/>
      <c r="CH80" s="1415"/>
      <c r="CI80" s="1415"/>
      <c r="CJ80" s="1415"/>
      <c r="CK80" s="1415"/>
      <c r="CL80" s="1415"/>
      <c r="CM80" s="1415"/>
      <c r="CN80" s="1415"/>
      <c r="CO80" s="1406"/>
      <c r="CP80" s="81"/>
      <c r="CQ80" s="81"/>
      <c r="DC80" s="1403"/>
      <c r="DD80" s="1405"/>
      <c r="DF80" s="1404"/>
      <c r="DH80" s="86"/>
      <c r="DI80" s="86"/>
      <c r="DK80"/>
      <c r="DL80" s="769"/>
      <c r="DM80" s="554"/>
      <c r="DN80" s="554"/>
      <c r="DO80" s="1401"/>
      <c r="DP80" s="1400"/>
      <c r="DQ80"/>
      <c r="DR80"/>
    </row>
    <row r="81" spans="1:122" ht="15.75">
      <c r="A81" s="769" t="str">
        <f>[10]équipes!A17</f>
        <v>Muzillac TT 4</v>
      </c>
      <c r="B81" s="1423" t="str">
        <f ca="1">IF(SMALL('résultats (2)'!$AP$1:$AP$70,6)&gt;2,"",VLOOKUP(SMALL('résultats (2)'!$AP$1:$AP$70,6),'résultats (2)'!$AP$1:$AX$70,9,FALSE))</f>
        <v/>
      </c>
      <c r="C81" s="1423" t="str">
        <f ca="1">IF(SMALL('résultats (2)'!$AQ$1:$AQ$70,6)&gt;2,"",VLOOKUP(SMALL('résultats (2)'!$AQ$1:$AQ$70,6),'résultats (2)'!$AQ$1:$AQ$70:$AX$70,8,FALSE))</f>
        <v/>
      </c>
      <c r="D81" s="1423" t="str">
        <f ca="1">IF(SMALL('résultats (2)'!$AR$1:$AR$70,6)&gt;2,"",VLOOKUP(SMALL('résultats (2)'!$AR$1:$AR$70,6),'résultats (2)'!$AR$1:$AX$70,7,FALSE))</f>
        <v/>
      </c>
      <c r="E81" s="1423" t="str">
        <f ca="1">IF(SMALL('résultats (2)'!$AS$1:$AS$70,6)&gt;2,"",VLOOKUP(SMALL('résultats (2)'!$AS$1:$AS$70,6),'résultats (2)'!$AS$1:$AX$70,6,FALSE))</f>
        <v/>
      </c>
      <c r="F81" s="1423" t="str">
        <f ca="1">IF(SMALL('résultats (2)'!$AT$1:$AT$70,6)&gt;2,"",VLOOKUP(SMALL('résultats (2)'!$AT$1:$AT$70,6),'résultats (2)'!$AT$1:$AX$70,5,FALSE))</f>
        <v/>
      </c>
      <c r="G81" s="1423" t="str">
        <f ca="1">IF(SMALL('résultats (2)'!$AU$1:$AU$70,6)&gt;2,"",VLOOKUP(SMALL('résultats (2)'!$AU$1:$AU$70,6),'résultats (2)'!$AU$1:$AX$70,4,FALSE))</f>
        <v/>
      </c>
      <c r="H81" s="1422" t="str">
        <f ca="1">IF(SMALL('résultats (2)'!$AV$1:$AV$70,6)&gt;2,"",VLOOKUP(SMALL('résultats (2)'!$AV$1:$AV$70,6),'résultats (2)'!$AV$1:$AX$70,3,FALSE))</f>
        <v/>
      </c>
      <c r="I81" s="1423" t="str">
        <f ca="1">IF(SMALL($AP$1:$AP$70,B$74+6)&gt;3,"",VLOOKUP(SMALL($AP$1:$AP$70,B$74+6),$AP$1:$AX$70,9,FALSE))</f>
        <v/>
      </c>
      <c r="J81" s="1423" t="str">
        <f ca="1">IF(SMALL($AQ$1:$AQ$70,C$74+6)&gt;3,"",VLOOKUP(SMALL($AQ$1:$AQ$70,C$74+6),$AQ$1:$AX$70,8,FALSE))</f>
        <v/>
      </c>
      <c r="K81" s="1423" t="str">
        <f ca="1">IF(SMALL($AR$1:$AR$70,D$74+6)&gt;3,"",VLOOKUP(SMALL($AR$1:$AR$70,D$74+6),$AR$1:$AX$70,7,FALSE))</f>
        <v/>
      </c>
      <c r="L81" s="1423" t="str">
        <f ca="1">IF(SMALL($AS$1:$AS$70,E$74+6)&gt;3,"",VLOOKUP(SMALL($AS$1:$AS$70,E$74+6),$AS$1:$AX$70,6,FALSE))</f>
        <v/>
      </c>
      <c r="M81" s="1423" t="str">
        <f ca="1">IF(SMALL($AT$1:$AT$70,F$74+6)&gt;3,"",VLOOKUP(SMALL($AT$1:$AT$70,F$74+6),$AT$1:$AX$70,5,FALSE))</f>
        <v/>
      </c>
      <c r="N81" s="1423" t="str">
        <f ca="1">IF(SMALL($AU$1:$AU$70,G$74+6)&gt;3,"",VLOOKUP(SMALL($AU$1:$AU$70,G$74+6),$AU$1:$AX$70,4,FALSE))</f>
        <v/>
      </c>
      <c r="O81" s="1422" t="str">
        <f ca="1">IF(SMALL($AV$1:$AV$70,H$74+6)&gt;3,"",VLOOKUP(SMALL($AV$1:$AV$70,H$74+6),$AV$1:$AX$70,3,FALSE))</f>
        <v/>
      </c>
      <c r="P81" s="1423" t="str">
        <f ca="1">IF(SMALL($AP$1:$AP$70,I$74+6)&gt;4,"",VLOOKUP(SMALL($AP$1:$AP$70,I$74+6),$AP$1:$AX$70,9,FALSE))</f>
        <v/>
      </c>
      <c r="Q81" s="1423" t="str">
        <f ca="1">IF(SMALL($AQ$1:$AQ$70,J$74+6)&gt;4,"",VLOOKUP(SMALL($AQ$1:$AQ$70,J$74+6),$AQ$1:$AX$70,8,FALSE))</f>
        <v/>
      </c>
      <c r="R81" s="1423" t="str">
        <f ca="1">IF(SMALL($AR$1:$AR$70,K$74+6)&gt;4,"",VLOOKUP(SMALL($AR$1:$AR$70,K$74+6),$AR$1:$AX$70,7,FALSE))</f>
        <v/>
      </c>
      <c r="S81" s="1423" t="str">
        <f ca="1">IF(SMALL($AS$1:$AS$70,L$74+6)&gt;4,"",VLOOKUP(SMALL($AS$1:$AS$70,L$74+6),$AS$1:$AX$70,6,FALSE))</f>
        <v/>
      </c>
      <c r="T81" s="1423" t="str">
        <f ca="1">IF(SMALL($AT$1:$AT$70,M$74+6)&gt;4,"",VLOOKUP(SMALL($AT$1:$AT$70,M$74+6),$AT$1:$AX$70,5,FALSE))</f>
        <v/>
      </c>
      <c r="U81" s="1423" t="str">
        <f ca="1">IF(SMALL($AU$1:$AU$70,N$74+6)&gt;4,"",VLOOKUP(SMALL($AU$1:$AU$70,N$74+6),$AU$1:$AX$70,4,FALSE))</f>
        <v/>
      </c>
      <c r="V81" s="1422" t="str">
        <f ca="1">IF(SMALL($AV$1:$AV$70,O$74+6)&gt;4,"",VLOOKUP(SMALL($AV$1:$AV$70,O$74+6),$AV$1:$AX$70,3,FALSE))</f>
        <v/>
      </c>
      <c r="W81" s="1423" t="str">
        <f ca="1">IF(SMALL($AP$1:$AP$70,P$74+6)&gt;5,"",VLOOKUP(SMALL($AP$1:$AP$70,P$74+6),$AP$1:$AX$70,9,FALSE))</f>
        <v/>
      </c>
      <c r="X81" s="1423" t="str">
        <f ca="1">IF(SMALL($AQ$1:$AQ$70,Q$74+6)&gt;5,"",VLOOKUP(SMALL($AQ$1:$AQ$70,Q$74+6),$AQ$1:$AX$70,8,FALSE))</f>
        <v/>
      </c>
      <c r="Y81" s="1423" t="str">
        <f ca="1">IF(SMALL($AR$1:$AR$70,R$74+6)&gt;5,"",VLOOKUP(SMALL($AR$1:$AR$70,R$74+6),$AR$1:$AX$70,7,FALSE))</f>
        <v/>
      </c>
      <c r="Z81" s="1423" t="str">
        <f ca="1">IF(SMALL($AS$1:$AS$70,S$74+6)&gt;5,"",VLOOKUP(SMALL($AS$1:$AS$70,S$74+6),$AS$1:$AX$70,6,FALSE))</f>
        <v/>
      </c>
      <c r="AA81" s="1423" t="str">
        <f ca="1">IF(SMALL($AT$1:$AT$70,T$74+6)&gt;5,"",VLOOKUP(SMALL($AT$1:$AT$70,T$74+6),$AT$1:$AX$70,5,FALSE))</f>
        <v/>
      </c>
      <c r="AB81" s="1423" t="str">
        <f ca="1">IF(SMALL($AU$1:$AU$70,U$74+6)&gt;5,"",VLOOKUP(SMALL($AU$1:$AU$70,U$74+6),$AU$1:$AX$70,4,FALSE))</f>
        <v/>
      </c>
      <c r="AC81" s="1422" t="str">
        <f ca="1">IF(SMALL($AV$1:$AV$70,V$74+6)&gt;5,"",VLOOKUP(SMALL($AV$1:$AV$70,V$74+6),$AV$1:$AX$70,3,FALSE))</f>
        <v/>
      </c>
      <c r="AD81" s="1422" t="str">
        <f ca="1">IF(SMALL($AP$1:$AP$70,W$74+6)&gt;6,"",VLOOKUP(SMALL($AP$1:$AP$70,W$74+6),$AP$1:$AX$70,9,FALSE))</f>
        <v/>
      </c>
      <c r="AE81" s="1423" t="str">
        <f ca="1">IF(SMALL($AQ$1:$AQ$70,X$74+6)&gt;6,"",VLOOKUP(SMALL($AQ$1:$AQ$70,X$74+6),$AQ$1:$AX$70,8,FALSE))</f>
        <v/>
      </c>
      <c r="AF81" s="1423" t="str">
        <f ca="1">IF(SMALL($AR$1:$AR$70,Y$74+6)&gt;6,"",VLOOKUP(SMALL($AR$1:$AR$70,Y$74+6),$AR$1:$AX$70,7,FALSE))</f>
        <v/>
      </c>
      <c r="AG81" s="1423" t="str">
        <f ca="1">IF(SMALL($AS$1:$AS$70,Z$74+6)&gt;6,"",VLOOKUP(SMALL($AS$1:$AS$70,Z$74+6),$AS$1:$AX$70,6,FALSE))</f>
        <v/>
      </c>
      <c r="AH81" s="1423" t="str">
        <f ca="1">IF(SMALL($AT$1:$AT$70,AA$74+6)&gt;6,"",VLOOKUP(SMALL($AT$1:$AT$70,AA$74+6),$AT$1:$AX$70,5,FALSE))</f>
        <v/>
      </c>
      <c r="AI81" s="1423" t="str">
        <f ca="1">IF(SMALL($AU$1:$AU$70,AB$74+6)&gt;6,"",VLOOKUP(SMALL($AU$1:$AU$70,AB$74+6),$AU$1:$AX$70,4,FALSE))</f>
        <v/>
      </c>
      <c r="AJ81" s="1422" t="str">
        <f ca="1">IF(SMALL($AV$1:$AV$70,AC$74+6)&gt;6,"",VLOOKUP(SMALL($AV$1:$AV$70,AC$74+6),$AV$1:$AX$70,3,FALSE))</f>
        <v/>
      </c>
      <c r="AK81" s="1423" t="str">
        <f ca="1">IF(SMALL($AP$1:$AP$70,AD$74+6)&gt;7,"",VLOOKUP(SMALL($AP$1:$AP$70,AD$74+6),$AP$1:$AX$70,9,FALSE))</f>
        <v/>
      </c>
      <c r="AL81" s="1423" t="str">
        <f ca="1">IF(SMALL($AQ$1:$AQ$70,AE$74+6)&gt;7,"",VLOOKUP(SMALL($AQ$1:$AQ$70,AE$74+6),$AQ$1:$AX$70,8,FALSE))</f>
        <v/>
      </c>
      <c r="AM81" s="1423" t="str">
        <f ca="1">IF(SMALL($AR$1:$AR$70,AF$74+6)&gt;7,"",VLOOKUP(SMALL($AR$1:$AR$70,AF$74+6),$AR$1:$AX$70,7,FALSE))</f>
        <v/>
      </c>
      <c r="AN81" s="1423" t="str">
        <f ca="1">IF(SMALL($AS$1:$AS$70,AG$74+6)&gt;7,"",VLOOKUP(SMALL($AS$1:$AS$70,AG$74+6),$AS$1:$AX$70,6,FALSE))</f>
        <v/>
      </c>
      <c r="AO81" s="1423" t="str">
        <f ca="1">IF(SMALL($AT$1:$AT$70,AH$74+6)&gt;7,"",VLOOKUP(SMALL($AT$1:$AT$70,AH$74+6),$AT$1:$AX$70,5,FALSE))</f>
        <v/>
      </c>
      <c r="AP81" s="1423" t="str">
        <f ca="1">IF(SMALL($AU$1:$AU$70,AI$74+6)&gt;7,"",VLOOKUP(SMALL($AU$1:$AU$70,AI$74+6),$AU$1:$AX$70,4,FALSE))</f>
        <v>Dayot Franck</v>
      </c>
      <c r="AQ81" s="1422" t="str">
        <f ca="1">IF(SMALL($AV$1:$AV$70,AJ$74+6)&gt;7,"",VLOOKUP(SMALL($AV$1:$AV$70,AJ$74+6),$AV$1:$AX$70,3,FALSE))</f>
        <v/>
      </c>
      <c r="AR81" s="1423" t="str">
        <f ca="1">IF(SMALL($AP$1:$AP$70,AK$74+6)&gt;8,"",VLOOKUP(SMALL($AP$1:$AP$70,AK$74+6),$AP$1:$AX$70,9,FALSE))</f>
        <v/>
      </c>
      <c r="AS81" s="1423" t="str">
        <f ca="1">IF(SMALL($AQ$1:$AQ$70,AL$74+6)&gt;8,"",VLOOKUP(SMALL($AQ$1:$AQ$70,AL$74+6),$AQ$1:$AX$70,8,FALSE))</f>
        <v/>
      </c>
      <c r="AT81" s="1423" t="str">
        <f ca="1">IF(SMALL($AR$1:$AR$70,AM$74+6)&gt;8,"",VLOOKUP(SMALL($AR$1:$AR$70,AM$74+6),$AR$1:$AX$70,7,FALSE))</f>
        <v/>
      </c>
      <c r="AU81" s="1423" t="str">
        <f ca="1">IF(SMALL($AS$1:$AS$70,$AN$74+6)&gt;8,"",VLOOKUP(SMALL($AS$1:$AS$70,$AN$74+6),$AS$1:$AX$70,6,FALSE))</f>
        <v/>
      </c>
      <c r="AV81" s="1423" t="e">
        <f ca="1">IF(SMALL($AT$1:$AT$70,AO$74+6)&gt;8,"",VLOOKUP(SMALL($AT$1:$AT$70,AO$74+6),$AT$1:$AX$70,5,FALSE))</f>
        <v>#NUM!</v>
      </c>
      <c r="AW81" s="1423" t="str">
        <f ca="1">IF(SMALL($AU$1:$AU$70,AP$74+6)&gt;8,"",VLOOKUP(SMALL($AU$1:$AU$70,AP$74+6),$AU$1:$AX$70,4,FALSE))</f>
        <v/>
      </c>
      <c r="AX81" s="1422" t="str">
        <f ca="1">IF(SMALL($AV$1:$AV$70,AQ$74+6)&gt;8,"",VLOOKUP(SMALL($AV$1:$AV$70,AQ$74+6),$AV$1:$AX$70,3,FALSE))</f>
        <v/>
      </c>
      <c r="AY81" s="1587" t="e">
        <f ca="1">IF(SMALL($AP$1:$AP$70,AR$74+6)&gt;9,"",VLOOKUP(SMALL($AP$1:$AP$70,AR$74+6),$AP$1:$AX$70,9,FALSE))</f>
        <v>#NUM!</v>
      </c>
      <c r="AZ81" s="1587" t="e">
        <f ca="1">IF(SMALL($AQ$1:$AQ$70,AS$74+6)&gt;9,"",VLOOKUP(SMALL($AQ$1:$AQ$70,AS$74+6),$AQ$1:$AX$70,8,FALSE))</f>
        <v>#NUM!</v>
      </c>
      <c r="BA81" s="1423" t="e">
        <f ca="1">IF(SMALL($AR$1:$AR$70,AT$74+6)&gt;9,"",VLOOKUP(SMALL($AR$1:$AR$70,AT$74+6),$AR$1:$AX$70,7,FALSE))</f>
        <v>#NUM!</v>
      </c>
      <c r="BB81" s="1423" t="str">
        <f ca="1">IF(SMALL($AS$1:$AS$70,$AN$74+6)&gt;9,"",VLOOKUP(SMALL($AS$1:$AS$70,$AN$74+6),$AS$1:$AX$70,6,FALSE))</f>
        <v>Guillotin Marie-Paule</v>
      </c>
      <c r="BC81" s="1423" t="e">
        <f ca="1">IF(SMALL($AT$1:$AT$70,AV$74+6)&gt;9,"",VLOOKUP(SMALL($AT$1:$AT$70,AV$74+6),$AT$1:$AX$70,5,FALSE))</f>
        <v>#NUM!</v>
      </c>
      <c r="BD81" s="1423" t="e">
        <f ca="1">IF(SMALL($AU$1:$AU$70,AW$74+6)&gt;9,"",VLOOKUP(SMALL($AU$1:$AU$70,AW$74+6),$AU$1:$AX$70,4,FALSE))</f>
        <v>#NUM!</v>
      </c>
      <c r="BE81" s="1422" t="e">
        <f ca="1">IF(SMALL($AV$1:$AV$70,AX$74+6)&gt;9,"",VLOOKUP(SMALL($AV$1:$AV$70,AX$74+6),$AV$1:$AX$70,3,FALSE))</f>
        <v>#NUM!</v>
      </c>
      <c r="BF81" s="769"/>
      <c r="BG81" s="769"/>
      <c r="BH81" s="769"/>
      <c r="BI81" s="769"/>
      <c r="BJ81" s="769"/>
      <c r="BK81" s="769"/>
      <c r="BL81" s="769"/>
      <c r="BM81" s="769"/>
      <c r="BN81" s="769"/>
      <c r="BO81" s="769"/>
      <c r="BP81" s="769"/>
      <c r="BQ81" s="769"/>
      <c r="BR81" s="769"/>
      <c r="BS81" s="769"/>
      <c r="BT81" s="769"/>
      <c r="BU81" s="769"/>
      <c r="BV81" s="1415"/>
      <c r="BW81" s="1415"/>
      <c r="BX81" s="1415"/>
      <c r="BY81" s="1415"/>
      <c r="BZ81" s="1415"/>
      <c r="CA81" s="1415"/>
      <c r="CB81" s="1415"/>
      <c r="CC81" s="1415"/>
      <c r="CD81" s="1415"/>
      <c r="CE81" s="1415"/>
      <c r="CF81" s="1415"/>
      <c r="CG81" s="1415"/>
      <c r="CH81" s="1415"/>
      <c r="CI81" s="1415"/>
      <c r="CJ81" s="1415"/>
      <c r="CK81" s="1415"/>
      <c r="CL81" s="1415"/>
      <c r="CM81" s="1415"/>
      <c r="CN81" s="1415"/>
      <c r="CO81" s="1406"/>
      <c r="CP81" s="81"/>
      <c r="CQ81" s="81"/>
      <c r="DC81" s="1403"/>
      <c r="DD81" s="1405"/>
      <c r="DF81" s="1404"/>
      <c r="DH81" s="86"/>
      <c r="DI81" s="86"/>
      <c r="DK81"/>
      <c r="DL81" s="769"/>
      <c r="DM81" s="554"/>
      <c r="DN81" s="554"/>
      <c r="DO81" s="1401"/>
      <c r="DP81" s="1400"/>
      <c r="DQ81"/>
      <c r="DR81"/>
    </row>
    <row r="82" spans="1:122" ht="15.75">
      <c r="A82" s="1418" t="s">
        <v>711</v>
      </c>
      <c r="B82" s="1421" t="str">
        <f ca="1">VLOOKUP(LARGE($BY$2:$BY$70,1),$BY$2:$BZ$70,2,FALSE)</f>
        <v>Brient Jean-François</v>
      </c>
      <c r="C82" s="1420">
        <f ca="1">VLOOKUP(B82,$A$1:$AI$70,17,FALSE)+VLOOKUP(B82,$A$1:$AI$70,18,FALSE)+VLOOKUP(B82,$A$1:$AI$70,19,FALSE)+VLOOKUP(B82,$A$1:$AI$70,20,FALSE)+VLOOKUP(B82,$A$1:$AI$70,21,FALSE)+VLOOKUP(B82,$A$1:$AI$70,22,FALSE)+VLOOKUP(B82,$A$1:$AI$70,23,FALSE)</f>
        <v>18</v>
      </c>
      <c r="D82" s="1419">
        <f ca="1">IF(B82="","",IF($BD$1&lt;=7,IF(VLOOKUP(B82,$A$2:$AI$70,3,FALSE)=1,VLOOKUP(B82,$A$2:$AI$70,17,FALSE),0)+IF(VLOOKUP(B82,$A$2:$AI$70,4,FALSE)=1,VLOOKUP(B82,$A$2:$AI$70,18,FALSE),0)+IF(VLOOKUP(B82,$A$2:$AI$70,5,FALSE)=1,VLOOKUP(B82,$A$2:$AI$70,19,FALSE),0)+IF(VLOOKUP(B82,$A$2:$AI$70,6,FALSE)=1,VLOOKUP(B82,$A$2:$AI$70,20,FALSE),0)+IF(VLOOKUP(B82,$A$2:$AI$70,7,FALSE)=1,VLOOKUP(B82,$A$2:$AI$70,21,FALSE),0)+IF(VLOOKUP(B82,$A$2:$AI$70,8,FALSE)=1,VLOOKUP(B82,$A$2:$AI$70,22,FALSE),0)+IF(VLOOKUP(B82,$A$2:$AI$70,9,FALSE)=1,VLOOKUP(B82,$A$2:$AI$70,23,FALSE),0),IF(VLOOKUP(B82,$A$2:$AI$70,10,FALSE)=1,VLOOKUP(B82,$A$2:$AI$70,24,FALSE),0)+IF(VLOOKUP(B82,$A$2:$AI$70,11,FALSE)=1,VLOOKUP(B82,$A$2:$AI$70,25,FALSE),0)+IF(VLOOKUP(B82,$A$2:$AI$70,12,FALSE)=1,VLOOKUP(B82,$A$2:$AI$70,26,FALSE),0)+IF(VLOOKUP(B82,$A$2:$AI$70,13,FALSE)=1,VLOOKUP(B82,$A$2:$AI$70,27,FALSE),0)+IF(VLOOKUP(B82,$A$2:$AI$70,14,FALSE)=1,VLOOKUP(B82,$A$2:$AI$70,28,FALSE),0)+IF(VLOOKUP(B82,$A$2:$AI$70,15,FALSE)=1,VLOOKUP(B82,$A$2:$AI$70,29,FALSE),0)+IF(VLOOKUP(B82,$A$2:$AI$70,16,FALSE)=1,VLOOKUP(B82,$A$2:$AI$70,30,FALSE),0)))</f>
        <v>18</v>
      </c>
      <c r="E82" s="1411">
        <f ca="1">IF(B82="","",COUNTIF(B$76:H$81,B82)*E$92)</f>
        <v>18</v>
      </c>
      <c r="G82" s="1402"/>
      <c r="H82" s="1402"/>
      <c r="I82" s="1421" t="str">
        <f ca="1">VLOOKUP(LARGE($CA$2:$CA$70,1),$CA$2:$CB$70,2,FALSE)</f>
        <v>Roszak Martin</v>
      </c>
      <c r="J82" s="1420">
        <f ca="1">VLOOKUP(I82,$A$1:$AI$70,17,FALSE)+VLOOKUP(I82,$A$1:$AI$70,18,FALSE)+VLOOKUP(I82,$A$1:$AI$70,19,FALSE)+VLOOKUP(I82,$A$1:$AI$70,20,FALSE)+VLOOKUP(I82,$A$1:$AI$70,21,FALSE)+VLOOKUP(I82,$A$1:$AI$70,22,FALSE)+VLOOKUP(I82,$A$1:$AI$70,23,FALSE)</f>
        <v>16</v>
      </c>
      <c r="K82" s="1419">
        <f ca="1">IF(I82="","",IF($BD$1&lt;=7,IF(VLOOKUP(I82,$A$2:$AI$70,3,FALSE)=2,VLOOKUP(I82,$A$2:$AI$70,17,FALSE),0)+IF(VLOOKUP(I82,$A$2:$AI$70,4,FALSE)=2,VLOOKUP(I82,$A$2:$AI$70,18,FALSE),0)+IF(VLOOKUP(I82,$A$2:$AI$70,5,FALSE)=2,VLOOKUP(I82,$A$2:$AI$70,19,FALSE),0)+IF(VLOOKUP(I82,$A$2:$AI$70,6,FALSE)=2,VLOOKUP(I82,$A$2:$AI$70,20,FALSE),0)+IF(VLOOKUP(I82,$A$2:$AI$70,7,FALSE)=2,VLOOKUP(I82,$A$2:$AI$70,21,FALSE),0)+IF(VLOOKUP(I82,$A$2:$AI$70,8,FALSE)=2,VLOOKUP(I82,$A$2:$AI$70,22,FALSE),0)+IF(VLOOKUP(I82,$A$2:$AI$70,9,FALSE)=2,VLOOKUP(I82,$A$2:$AI$70,23,FALSE),0),IF(VLOOKUP(I82,$A$2:$AI$70,10,FALSE)=2,VLOOKUP(I82,$A$2:$AI$70,24,FALSE),0)+IF(VLOOKUP(I82,$A$2:$AI$70,11,FALSE)=2,VLOOKUP(I82,$A$2:$AI$70,25,FALSE),0)+IF(VLOOKUP(I82,$A$2:$AI$70,12,FALSE)=2,VLOOKUP(I82,$A$2:$AI$70,26,FALSE),0)+IF(VLOOKUP(I82,$A$2:$AI$70,13,FALSE)=2,VLOOKUP(I82,$A$2:$AI$70,27,FALSE),0)+IF(VLOOKUP(I82,$A$2:$AI$70,14,FALSE)=2,VLOOKUP(I82,$A$2:$AI$70,28,FALSE),0)+IF(VLOOKUP(I82,$A$2:$AI$70,15,FALSE)=2,VLOOKUP(I82,$A$2:$AI$70,29,FALSE),0)+IF(VLOOKUP(I82,$A$2:$AI$70,16,FALSE)=2,VLOOKUP(I82,$A$2:$AI$70,30,FALSE),0)))</f>
        <v>9</v>
      </c>
      <c r="L82" s="1411">
        <f ca="1">IF(I82="","",COUNTIF(I$76:O$81,I82)*L$92)</f>
        <v>21</v>
      </c>
      <c r="M82" s="769"/>
      <c r="N82" s="769"/>
      <c r="O82" s="769"/>
      <c r="P82" s="1421" t="str">
        <f ca="1">VLOOKUP(LARGE($CC$2:$CC$70,1),$CC$2:$CD$70,2,FALSE)</f>
        <v>Le Garnec Sacha</v>
      </c>
      <c r="Q82" s="1420">
        <f ca="1">VLOOKUP(P82,$A$1:$AI$70,17,FALSE)+VLOOKUP(P82,$A$1:$AI$70,18,FALSE)+VLOOKUP(P82,$A$1:$AI$70,19,FALSE)+VLOOKUP(P82,$A$1:$AI$70,20,FALSE)+VLOOKUP(P82,$A$1:$AI$70,21,FALSE)+VLOOKUP(P82,$A$1:$AI$70,22,FALSE)+VLOOKUP(P82,$A$1:$AI$70,23,FALSE)</f>
        <v>12</v>
      </c>
      <c r="R82" s="1419">
        <f ca="1">IF(P82="","",IF($BD$1&lt;=7,IF(VLOOKUP(P82,$A$2:$AI$70,3,FALSE)=3,VLOOKUP(P82,$A$2:$AI$70,17,FALSE),0)+IF(VLOOKUP(P82,$A$2:$AI$70,4,FALSE)=3,VLOOKUP(P82,$A$2:$AI$70,18,FALSE),0)+IF(VLOOKUP(P82,$A$2:$AI$70,5,FALSE)=3,VLOOKUP(P82,$A$2:$AI$70,19,FALSE),0)+IF(VLOOKUP(P82,$A$2:$AI$70,6,FALSE)=3,VLOOKUP(P82,$A$2:$AI$70,20,FALSE),0)+IF(VLOOKUP(P82,$A$2:$AI$70,7,FALSE)=3,VLOOKUP(P82,$A$2:$AI$70,21,FALSE),0)+IF(VLOOKUP(P82,$A$2:$AI$70,8,FALSE)=3,VLOOKUP(P82,$A$2:$AI$70,22,FALSE),0)+IF(VLOOKUP(P82,$A$2:$AI$70,9,FALSE)=3,VLOOKUP(P82,$A$2:$AI$70,23,FALSE),0),IF(VLOOKUP(P82,$A$2:$AI$70,10,FALSE)=3,VLOOKUP(P82,$A$2:$AI$70,24,FALSE),0)+IF(VLOOKUP(P82,$A$2:$AI$70,11,FALSE)=3,VLOOKUP(P82,$A$2:$AI$70,25,FALSE),0)+IF(VLOOKUP(P82,$A$2:$AI$70,12,FALSE)=3,VLOOKUP(P82,$A$2:$AI$70,26,FALSE),0)+IF(VLOOKUP(P82,$A$2:$AI$70,13,FALSE)=3,VLOOKUP(P82,$A$2:$AI$70,27,FALSE),0)+IF(VLOOKUP(P82,$A$2:$AI$70,14,FALSE)=3,VLOOKUP(P82,$A$2:$AI$70,28,FALSE),0)+IF(VLOOKUP(P82,$A$2:$AI$70,15,FALSE)=3,VLOOKUP(P82,$A$2:$AI$70,29,FALSE),0)+IF(VLOOKUP(P82,$A$2:$AI$70,16,FALSE)=3,VLOOKUP(P82,$A$2:$AI$70,30,FALSE),0)))</f>
        <v>11</v>
      </c>
      <c r="S82" s="1411">
        <f ca="1">IF(P82="","",COUNTIF(P$76:V$81,P82)*S$92)</f>
        <v>18</v>
      </c>
      <c r="T82" s="769"/>
      <c r="U82" s="769"/>
      <c r="V82" s="769"/>
      <c r="W82" s="1421" t="str">
        <f ca="1">VLOOKUP(LARGE($CE$2:$CE$70,1),$CE$2:$CF$70,2,FALSE)</f>
        <v>Baudais Luc</v>
      </c>
      <c r="X82" s="1420">
        <f ca="1">VLOOKUP(W82,$A$1:$AI$70,17,FALSE)+VLOOKUP(W82,$A$1:$AI$70,18,FALSE)+VLOOKUP(W82,$A$1:$AI$70,19,FALSE)+VLOOKUP(W82,$A$1:$AI$70,20,FALSE)+VLOOKUP(W82,$A$1:$AI$70,21,FALSE)+VLOOKUP(W82,$A$1:$AI$70,22,FALSE)+VLOOKUP(W82,$A$1:$AI$70,23,FALSE)</f>
        <v>5</v>
      </c>
      <c r="Y82" s="1419">
        <f ca="1">IF(W82="","",IF($BD$1&lt;=7,IF(VLOOKUP(W82,$A$2:$AI$70,3,FALSE)=4,VLOOKUP(W82,$A$2:$AI$70,17,FALSE),0)+IF(VLOOKUP(W82,$A$2:$AI$70,4,FALSE)=4,VLOOKUP(W82,$A$2:$AI$70,18,FALSE),0)+IF(VLOOKUP(W82,$A$2:$AI$70,5,FALSE)=4,VLOOKUP(W82,$A$2:$AI$70,19,FALSE),0)+IF(VLOOKUP(W82,$A$2:$AI$70,6,FALSE)=4,VLOOKUP(W82,$A$2:$AI$70,20,FALSE),0)+IF(VLOOKUP(W82,$A$2:$AI$70,7,FALSE)=4,VLOOKUP(W82,$A$2:$AI$70,21,FALSE),0)+IF(VLOOKUP(W82,$A$2:$AI$70,8,FALSE)=4,VLOOKUP(W82,$A$2:$AI$70,22,FALSE),0)+IF(VLOOKUP(W82,$A$2:$AI$70,9,FALSE)=4,VLOOKUP(W82,$A$2:$AI$70,23,FALSE),0),IF(VLOOKUP(W82,$A$2:$AI$70,10,FALSE)=4,VLOOKUP(W82,$A$2:$AI$70,24,FALSE),0)+IF(VLOOKUP(W82,$A$2:$AI$70,11,FALSE)=4,VLOOKUP(W82,$A$2:$AI$70,25,FALSE),0)+IF(VLOOKUP(W82,$A$2:$AI$70,12,FALSE)=4,VLOOKUP(W82,$A$2:$AI$70,26,FALSE),0)+IF(VLOOKUP(W82,$A$2:$AI$70,13,FALSE)=4,VLOOKUP(W82,$A$2:$AI$70,27,FALSE),0)+IF(VLOOKUP(W82,$A$2:$AI$70,14,FALSE)=4,VLOOKUP(W82,$A$2:$AI$70,28,FALSE),0)+IF(VLOOKUP(W82,$A$2:$AI$70,15,FALSE)=4,VLOOKUP(W82,$A$2:$AI$70,29,FALSE),0)+IF(VLOOKUP(W82,$A$2:$AI$70,16,FALSE)=4,VLOOKUP(W82,$A$2:$AI$70,30,FALSE),0)))</f>
        <v>12</v>
      </c>
      <c r="Z82" s="1411">
        <f ca="1">IF(W82="","",COUNTIF(W$76:AC$81,W82)*Z$92)</f>
        <v>21</v>
      </c>
      <c r="AA82" s="769"/>
      <c r="AB82" s="769"/>
      <c r="AC82" s="769"/>
      <c r="AD82" s="1421" t="str">
        <f ca="1">VLOOKUP(LARGE($CG$2:$CG$70,1),$CG$2:$CH$70,2,FALSE)</f>
        <v>Allano Antoine</v>
      </c>
      <c r="AE82" s="1420">
        <f ca="1">VLOOKUP(AD82,$A$1:$AI$70,17,FALSE)+VLOOKUP(AD82,$A$1:$AI$70,18,FALSE)+VLOOKUP(AD82,$A$1:$AI$70,19,FALSE)+VLOOKUP(AD82,$A$1:$AI$70,20,FALSE)+VLOOKUP(AD82,$A$1:$AI$70,21,FALSE)+VLOOKUP(AD82,$A$1:$AI$70,22,FALSE)+VLOOKUP(AD82,$A$1:$AI$70,23,FALSE)</f>
        <v>11</v>
      </c>
      <c r="AF82" s="1419">
        <f ca="1">IF(AD82="","",IF($BD$1&lt;=7,IF(VLOOKUP(AD82,$A$2:$AI$70,3,FALSE)=5,VLOOKUP(AD82,$A$2:$AI$70,17,FALSE),0)+IF(VLOOKUP(AD82,$A$2:$AI$70,4,FALSE)=5,VLOOKUP(AD82,$A$2:$AI$70,18,FALSE),0)+IF(VLOOKUP(AD82,$A$2:$AI$70,5,FALSE)=5,VLOOKUP(AD82,$A$2:$AI$70,19,FALSE),0)+IF(VLOOKUP(AD82,$A$2:$AI$70,6,FALSE)=5,VLOOKUP(AD82,$A$2:$AI$70,20,FALSE),0)+IF(VLOOKUP(AD82,$A$2:$AI$70,7,FALSE)=5,VLOOKUP(AD82,$A$2:$AI$70,21,FALSE),0)+IF(VLOOKUP(AD82,$A$2:$AI$70,8,FALSE)=5,VLOOKUP(AD82,$A$2:$AI$70,22,FALSE),0)+IF(VLOOKUP(AD82,$A$2:$AI$70,9,FALSE)=5,VLOOKUP(AD82,$A$2:$AI$70,23,FALSE),0),IF(VLOOKUP(AD82,$A$2:$AI$70,10,FALSE)=5,VLOOKUP(AD82,$A$2:$AI$70,24,FALSE),0)+IF(VLOOKUP(AD82,$A$2:$AI$70,11,FALSE)=5,VLOOKUP(AD82,$A$2:$AI$70,25,FALSE),0)+IF(VLOOKUP(AD82,$A$2:$AI$70,12,FALSE)=5,VLOOKUP(AD82,$A$2:$AI$70,26,FALSE),0)+IF(VLOOKUP(AD82,$A$2:$AI$70,13,FALSE)=5,VLOOKUP(AD82,$A$2:$AI$70,27,FALSE),0)+IF(VLOOKUP(AD82,$A$2:$AI$70,14,FALSE)=5,VLOOKUP(AD82,$A$2:$AI$70,28,FALSE),0)+IF(VLOOKUP(AD82,$A$2:$AI$70,15,FALSE)=5,VLOOKUP(AD82,$A$2:$AI$70,29,FALSE),0)+IF(VLOOKUP(AD82,$A$2:$AI$70,16,FALSE)=5,VLOOKUP(AD82,$A$2:$AI$70,30,FALSE),0)))</f>
        <v>6</v>
      </c>
      <c r="AG82" s="1411">
        <f ca="1">IF(AD82="","",COUNTIF(AD$76:AJ$81,AD82)*AG$92)</f>
        <v>18</v>
      </c>
      <c r="AH82" s="1413"/>
      <c r="AI82" s="769"/>
      <c r="AJ82" s="769"/>
      <c r="AK82" s="1421" t="str">
        <f ca="1">VLOOKUP(LARGE($CI$2:$CI$70,1),$CI$2:$CJ$70,2,FALSE)</f>
        <v>Dayot Franck</v>
      </c>
      <c r="AL82" s="1420">
        <f ca="1">VLOOKUP(AK82,$A$1:$AI$70,17,FALSE)+VLOOKUP(AK82,$A$1:$AI$70,18,FALSE)+VLOOKUP(AK82,$A$1:$AI$70,19,FALSE)+VLOOKUP(AK82,$A$1:$AI$70,20,FALSE)+VLOOKUP(AK82,$A$1:$AI$70,21,FALSE)+VLOOKUP(AK82,$A$1:$AI$70,22,FALSE)+VLOOKUP(AK82,$A$1:$AI$70,23,FALSE)</f>
        <v>14</v>
      </c>
      <c r="AM82" s="1419">
        <f ca="1">IF(AK82="","",IF($BD$1&lt;=7,IF(VLOOKUP(AK82,$A$2:$AI$70,3,FALSE)=6,VLOOKUP(AK82,$A$2:$AI$70,17,FALSE),0)+IF(VLOOKUP(AK82,$A$2:$AI$70,4,FALSE)=6,VLOOKUP(AK82,$A$2:$AI$70,18,FALSE),0)+IF(VLOOKUP(AK82,$A$2:$AI$70,5,FALSE)=6,VLOOKUP(AK82,$A$2:$AI$70,19,FALSE),0)+IF(VLOOKUP(AK82,$A$2:$AI$70,6,FALSE)=6,VLOOKUP(AK82,$A$2:$AI$70,20,FALSE),0)+IF(VLOOKUP(AK82,$A$2:$AI$70,7,FALSE)=6,VLOOKUP(AK82,$A$2:$AI$70,21,FALSE),0)+IF(VLOOKUP(AK82,$A$2:$AI$70,8,FALSE)=6,VLOOKUP(AK82,$A$2:$AI$70,22,FALSE),0)+IF(VLOOKUP(AK82,$A$2:$AI$70,9,FALSE)=6,VLOOKUP(AK82,$A$2:$AI$70,23,FALSE),0),IF(VLOOKUP(AK82,$A$2:$AI$70,10,FALSE)=6,VLOOKUP(AK82,$A$2:$AI$70,24,FALSE),0)+IF(VLOOKUP(AK82,$A$2:$AI$70,11,FALSE)=6,VLOOKUP(AK82,$A$2:$AI$70,25,FALSE),0)+IF(VLOOKUP(AK82,$A$2:$AI$70,12,FALSE)=6,VLOOKUP(AK82,$A$2:$AI$70,26,FALSE),0)+IF(VLOOKUP(AK82,$A$2:$AI$70,13,FALSE)=6,VLOOKUP(AK82,$A$2:$AI$70,27,FALSE),0)+IF(VLOOKUP(AK82,$A$2:$AI$70,14,FALSE)=6,VLOOKUP(AK82,$A$2:$AI$70,28,FALSE),0)+IF(VLOOKUP(AK82,$A$2:$AI$70,15,FALSE)=6,VLOOKUP(AK82,$A$2:$AI$70,29,FALSE),0)+IF(VLOOKUP(AK82,$A$2:$AI$70,16,FALSE)=6,VLOOKUP(AK82,$A$2:$AI$70,30,FALSE),0)))</f>
        <v>16</v>
      </c>
      <c r="AN82" s="1411">
        <f ca="1">IF(AK82="","",COUNTIF(AK$76:AQ$81,AK82)*AN$92)</f>
        <v>21</v>
      </c>
      <c r="AO82" s="769"/>
      <c r="AP82" s="769"/>
      <c r="AQ82" s="769"/>
      <c r="AR82" s="1421" t="str">
        <f ca="1">VLOOKUP(LARGE($CK$2:$CK$70,1),$CK$2:$CL$70,2,FALSE)</f>
        <v>Bousseau Yannick</v>
      </c>
      <c r="AS82" s="1420">
        <f ca="1">VLOOKUP(AR82,$A$1:$AI$70,17,FALSE)+VLOOKUP(AR82,$A$1:$AI$70,18,FALSE)+VLOOKUP(AR82,$A$1:$AI$70,19,FALSE)+VLOOKUP(AR82,$A$1:$AI$70,20,FALSE)+VLOOKUP(AR82,$A$1:$AI$70,21,FALSE)+VLOOKUP(AR82,$A$1:$AI$70,22,FALSE)+VLOOKUP(AR82,$A$1:$AI$70,23,FALSE)</f>
        <v>15</v>
      </c>
      <c r="AT82" s="1419">
        <f ca="1">IF(AR82="","",IF($BD$1&lt;=7,IF(VLOOKUP(AR82,$A$2:$AI$70,3,FALSE)=7,VLOOKUP(AR82,$A$2:$AI$70,17,FALSE),0)+IF(VLOOKUP(AR82,$A$2:$AI$70,4,FALSE)=7,VLOOKUP(AR82,$A$2:$AI$70,18,FALSE),0)+IF(VLOOKUP(AR82,$A$2:$AI$70,5,FALSE)=7,VLOOKUP(AR82,$A$2:$AI$70,19,FALSE),0)+IF(VLOOKUP(AR82,$A$2:$AI$70,6,FALSE)=7,VLOOKUP(AR82,$A$2:$AI$70,20,FALSE),0)+IF(VLOOKUP(AR82,$A$2:$AI$70,7,FALSE)=7,VLOOKUP(AR82,$A$2:$AI$70,21,FALSE),0)+IF(VLOOKUP(AR82,$A$2:$AI$70,8,FALSE)=7,VLOOKUP(AR82,$A$2:$AI$70,22,FALSE),0)+IF(VLOOKUP(AR82,$A$2:$AI$70,9,FALSE)=7,VLOOKUP(AR82,$A$2:$AI$70,23,FALSE),0),IF(VLOOKUP(AR82,$A$2:$AI$70,10,FALSE)=7,VLOOKUP(AR82,$A$2:$AI$70,24,FALSE),0)+IF(VLOOKUP(AR82,$A$2:$AI$70,11,FALSE)=7,VLOOKUP(AR82,$A$2:$AI$70,25,FALSE),0)+IF(VLOOKUP(AR82,$A$2:$AI$70,12,FALSE)=7,VLOOKUP(AR82,$A$2:$AI$70,26,FALSE),0)+IF(VLOOKUP(AR82,$A$2:$AI$70,13,FALSE)=7,VLOOKUP(AR82,$A$2:$AI$70,27,FALSE),0)+IF(VLOOKUP(AR82,$A$2:$AI$70,14,FALSE)=7,VLOOKUP(AR82,$A$2:$AI$70,28,FALSE),0)+IF(VLOOKUP(AR82,$A$2:$AI$70,15,FALSE)=7,VLOOKUP(AR82,$A$2:$AI$70,29,FALSE),0)+IF(VLOOKUP(AR82,$A$2:$AI$70,16,FALSE)=7,VLOOKUP(AR82,$A$2:$AI$70,30,FALSE),0)))</f>
        <v>1</v>
      </c>
      <c r="AU82" s="1411">
        <f ca="1">IF(AR82="","",COUNTIF(AR$76:AX$81,AR82)*AU$92)</f>
        <v>21</v>
      </c>
      <c r="AV82" s="769"/>
      <c r="AW82" s="769"/>
      <c r="AX82" s="1414"/>
      <c r="AY82" s="1588" t="str">
        <f ca="1">VLOOKUP(LARGE($CM$2:$CM$70,1),$CM$2:$CN$70,2,FALSE)</f>
        <v>Sail Anthony</v>
      </c>
      <c r="AZ82" s="1584">
        <f ca="1">VLOOKUP(AY82,$A$1:$AI$70,17,FALSE)+VLOOKUP(AY82,$A$1:$AI$70,18,FALSE)+VLOOKUP(AY82,$A$1:$AI$70,19,FALSE)+VLOOKUP(AY82,$A$1:$AI$70,20,FALSE)+VLOOKUP(AY82,$A$1:$AI$70,21,FALSE)+VLOOKUP(AY82,$A$1:$AI$70,22,FALSE)+VLOOKUP(AY82,$A$1:$AI$70,23,FALSE)</f>
        <v>0</v>
      </c>
      <c r="BA82" s="1419">
        <f ca="1">IF(AY82="","",IF($BD$1&lt;=7,IF(VLOOKUP(AY82,$A$2:$AI$70,3,FALSE)=8,VLOOKUP(AY82,$A$2:$AI$70,17,FALSE),0)+IF(VLOOKUP(AY82,$A$2:$AI$70,4,FALSE)=8,VLOOKUP(AY82,$A$2:$AI$70,18,FALSE),0)+IF(VLOOKUP(AY82,$A$2:$AI$70,5,FALSE)=8,VLOOKUP(AY82,$A$2:$AI$70,19,FALSE),0)+IF(VLOOKUP(AY82,$A$2:$AI$70,6,FALSE)=8,VLOOKUP(AY82,$A$2:$AI$70,20,FALSE),0)+IF(VLOOKUP(AY82,$A$2:$AI$70,7,FALSE)=8,VLOOKUP(AY82,$A$2:$AI$70,21,FALSE),0)+IF(VLOOKUP(AY82,$A$2:$AI$70,8,FALSE)=8,VLOOKUP(AY82,$A$2:$AI$70,22,FALSE),0)+IF(VLOOKUP(AY82,$A$2:$AI$70,9,FALSE)=8,VLOOKUP(AY82,$A$2:$AI$70,23,FALSE),0),IF(VLOOKUP(AY82,$A$2:$AI$70,10,FALSE)=8,VLOOKUP(AY82,$A$2:$AI$70,24,FALSE),0)+IF(VLOOKUP(AY82,$A$2:$AI$70,11,FALSE)=8,VLOOKUP(AY82,$A$2:$AI$70,25,FALSE),0)+IF(VLOOKUP(AY82,$A$2:$AI$70,12,FALSE)=8,VLOOKUP(AY82,$A$2:$AI$70,26,FALSE),0)+IF(VLOOKUP(AY82,$A$2:$AI$70,13,FALSE)=8,VLOOKUP(AY82,$A$2:$AI$70,27,FALSE),0)+IF(VLOOKUP(AY82,$A$2:$AI$70,14,FALSE)=8,VLOOKUP(AY82,$A$2:$AI$70,28,FALSE),0)+IF(VLOOKUP(AY82,$A$2:$AI$70,15,FALSE)=8,VLOOKUP(AY82,$A$2:$AI$70,29,FALSE),0)+IF(VLOOKUP(AY82,$A$2:$AI$70,16,FALSE)=8,VLOOKUP(AY82,$A$2:$AI$70,30,FALSE),0)))</f>
        <v>3</v>
      </c>
      <c r="BB82" s="1411">
        <f ca="1">IF(AY82="","",COUNTIF(AY$76:BE$81,AY82)*BB$92)</f>
        <v>18</v>
      </c>
      <c r="BC82" s="769"/>
      <c r="BD82" s="769"/>
      <c r="BE82" s="769"/>
      <c r="BF82" s="769"/>
      <c r="BG82" s="769"/>
      <c r="BH82" s="769"/>
      <c r="BI82" s="769"/>
      <c r="BJ82" s="769"/>
      <c r="BK82" s="769"/>
      <c r="BL82" s="769"/>
      <c r="BM82" s="769"/>
      <c r="BN82" s="769"/>
      <c r="BO82" s="769"/>
      <c r="BP82" s="769"/>
      <c r="BQ82" s="769"/>
      <c r="BR82" s="769"/>
      <c r="BS82" s="769"/>
      <c r="BT82" s="769"/>
      <c r="BU82" s="769"/>
      <c r="BV82" s="1415"/>
      <c r="BW82" s="1415"/>
      <c r="BX82" s="1415"/>
      <c r="BY82" s="1415"/>
      <c r="BZ82" s="1415"/>
      <c r="CA82" s="1415"/>
      <c r="CB82" s="1415"/>
      <c r="CC82" s="1415"/>
      <c r="CD82" s="1415"/>
      <c r="CE82" s="1415"/>
      <c r="CF82" s="1415"/>
      <c r="CG82" s="1415"/>
      <c r="CH82" s="1415"/>
      <c r="CI82" s="1415"/>
      <c r="CJ82" s="1415"/>
      <c r="CK82" s="1415"/>
      <c r="CL82" s="1415"/>
      <c r="CM82" s="1415"/>
      <c r="CN82" s="1415"/>
      <c r="CO82" s="1406"/>
      <c r="CP82" s="81"/>
      <c r="CQ82" s="81"/>
      <c r="DC82" s="1403"/>
      <c r="DD82" s="1405"/>
      <c r="DF82" s="1404"/>
      <c r="DH82" s="86"/>
      <c r="DI82" s="86"/>
      <c r="DK82"/>
      <c r="DL82" s="769"/>
      <c r="DM82" s="554"/>
      <c r="DN82" s="554"/>
      <c r="DO82" s="1401"/>
      <c r="DP82" s="1400"/>
      <c r="DQ82"/>
      <c r="DR82"/>
    </row>
    <row r="83" spans="1:122" ht="15.75">
      <c r="B83" s="1421" t="str">
        <f ca="1">VLOOKUP(LARGE($BY$2:$BY$70,2),$BY$2:$BZ$70,2,FALSE)</f>
        <v>Couture Nicolas</v>
      </c>
      <c r="C83" s="1420">
        <f ca="1">VLOOKUP(B83,$A$1:$AI$70,17,FALSE)+VLOOKUP(B83,$A$1:$AI$70,18,FALSE)+VLOOKUP(B83,$A$1:$AI$70,19,FALSE)+VLOOKUP(B83,$A$1:$AI$70,20,FALSE)+VLOOKUP(B83,$A$1:$AI$70,21,FALSE)+VLOOKUP(B83,$A$1:$AI$70,22,FALSE)+VLOOKUP(B83,$A$1:$AI$70,23,FALSE)</f>
        <v>17</v>
      </c>
      <c r="D83" s="1419">
        <f ca="1">IF(B83="","",IF($BD$1&lt;=7,IF(VLOOKUP(B83,$A$2:$AI$70,3,FALSE)=1,VLOOKUP(B83,$A$2:$AI$70,17,FALSE),0)+IF(VLOOKUP(B83,$A$2:$AI$70,4,FALSE)=1,VLOOKUP(B83,$A$2:$AI$70,18,FALSE),0)+IF(VLOOKUP(B83,$A$2:$AI$70,5,FALSE)=1,VLOOKUP(B83,$A$2:$AI$70,19,FALSE),0)+IF(VLOOKUP(B83,$A$2:$AI$70,6,FALSE)=1,VLOOKUP(B83,$A$2:$AI$70,20,FALSE),0)+IF(VLOOKUP(B83,$A$2:$AI$70,7,FALSE)=1,VLOOKUP(B83,$A$2:$AI$70,21,FALSE),0)+IF(VLOOKUP(B83,$A$2:$AI$70,8,FALSE)=1,VLOOKUP(B83,$A$2:$AI$70,22,FALSE),0)+IF(VLOOKUP(B83,$A$2:$AI$70,9,FALSE)=1,VLOOKUP(B83,$A$2:$AI$70,23,FALSE),0),IF(VLOOKUP(B83,$A$2:$AI$70,10,FALSE)=1,VLOOKUP(B83,$A$2:$AI$70,24,FALSE),0)+IF(VLOOKUP(B83,$A$2:$AI$70,11,FALSE)=1,VLOOKUP(B83,$A$2:$AI$70,25,FALSE),0)+IF(VLOOKUP(B83,$A$2:$AI$70,12,FALSE)=1,VLOOKUP(B83,$A$2:$AI$70,26,FALSE),0)+IF(VLOOKUP(B83,$A$2:$AI$70,13,FALSE)=1,VLOOKUP(B83,$A$2:$AI$70,27,FALSE),0)+IF(VLOOKUP(B83,$A$2:$AI$70,14,FALSE)=1,VLOOKUP(B83,$A$2:$AI$70,28,FALSE),0)+IF(VLOOKUP(B83,$A$2:$AI$70,15,FALSE)=1,VLOOKUP(B83,$A$2:$AI$70,29,FALSE),0)+IF(VLOOKUP(B83,$A$2:$AI$70,16,FALSE)=1,VLOOKUP(B83,$A$2:$AI$70,30,FALSE),0)))</f>
        <v>10</v>
      </c>
      <c r="E83" s="1411">
        <f ca="1">IF(B83="","",COUNTIF(B$76:H$81,B83)*E$92)</f>
        <v>15</v>
      </c>
      <c r="G83" s="1402"/>
      <c r="H83" s="1402"/>
      <c r="I83" s="1421" t="str">
        <f ca="1">VLOOKUP(LARGE($CA$2:$CA$70,2),$CA$2:$CB$70,2,FALSE)</f>
        <v>Roszak Clément</v>
      </c>
      <c r="J83" s="1420">
        <f ca="1">VLOOKUP(I83,$A$1:$AI$70,17,FALSE)+VLOOKUP(I83,$A$1:$AI$70,18,FALSE)+VLOOKUP(I83,$A$1:$AI$70,19,FALSE)+VLOOKUP(I83,$A$1:$AI$70,20,FALSE)+VLOOKUP(I83,$A$1:$AI$70,21,FALSE)+VLOOKUP(I83,$A$1:$AI$70,22,FALSE)+VLOOKUP(I83,$A$1:$AI$70,23,FALSE)</f>
        <v>11</v>
      </c>
      <c r="K83" s="1419">
        <f ca="1">IF(I83="","",IF($BD$1&lt;=7,IF(VLOOKUP(I83,$A$2:$AI$70,3,FALSE)=2,VLOOKUP(I83,$A$2:$AI$70,17,FALSE),0)+IF(VLOOKUP(I83,$A$2:$AI$70,4,FALSE)=2,VLOOKUP(I83,$A$2:$AI$70,18,FALSE),0)+IF(VLOOKUP(I83,$A$2:$AI$70,5,FALSE)=2,VLOOKUP(I83,$A$2:$AI$70,19,FALSE),0)+IF(VLOOKUP(I83,$A$2:$AI$70,6,FALSE)=2,VLOOKUP(I83,$A$2:$AI$70,20,FALSE),0)+IF(VLOOKUP(I83,$A$2:$AI$70,7,FALSE)=2,VLOOKUP(I83,$A$2:$AI$70,21,FALSE),0)+IF(VLOOKUP(I83,$A$2:$AI$70,8,FALSE)=2,VLOOKUP(I83,$A$2:$AI$70,22,FALSE),0)+IF(VLOOKUP(I83,$A$2:$AI$70,9,FALSE)=2,VLOOKUP(I83,$A$2:$AI$70,23,FALSE),0),IF(VLOOKUP(I83,$A$2:$AI$70,10,FALSE)=2,VLOOKUP(I83,$A$2:$AI$70,24,FALSE),0)+IF(VLOOKUP(I83,$A$2:$AI$70,11,FALSE)=2,VLOOKUP(I83,$A$2:$AI$70,25,FALSE),0)+IF(VLOOKUP(I83,$A$2:$AI$70,12,FALSE)=2,VLOOKUP(I83,$A$2:$AI$70,26,FALSE),0)+IF(VLOOKUP(I83,$A$2:$AI$70,13,FALSE)=2,VLOOKUP(I83,$A$2:$AI$70,27,FALSE),0)+IF(VLOOKUP(I83,$A$2:$AI$70,14,FALSE)=2,VLOOKUP(I83,$A$2:$AI$70,28,FALSE),0)+IF(VLOOKUP(I83,$A$2:$AI$70,15,FALSE)=2,VLOOKUP(I83,$A$2:$AI$70,29,FALSE),0)+IF(VLOOKUP(I83,$A$2:$AI$70,16,FALSE)=2,VLOOKUP(I83,$A$2:$AI$70,30,FALSE),0)))</f>
        <v>15</v>
      </c>
      <c r="L83" s="1411">
        <f ca="1">IF(I83="","",COUNTIF(I$76:O$81,I83)*L$92)</f>
        <v>15</v>
      </c>
      <c r="M83" s="769"/>
      <c r="N83" s="769"/>
      <c r="O83" s="769"/>
      <c r="P83" s="1421" t="str">
        <f ca="1">VLOOKUP(LARGE($CC$2:$CC$70,2),$CC$2:$CD$70,2,FALSE)</f>
        <v>Morin Emmanuel</v>
      </c>
      <c r="Q83" s="1420">
        <f ca="1">VLOOKUP(P83,$A$1:$AI$70,17,FALSE)+VLOOKUP(P83,$A$1:$AI$70,18,FALSE)+VLOOKUP(P83,$A$1:$AI$70,19,FALSE)+VLOOKUP(P83,$A$1:$AI$70,20,FALSE)+VLOOKUP(P83,$A$1:$AI$70,21,FALSE)+VLOOKUP(P83,$A$1:$AI$70,22,FALSE)+VLOOKUP(P83,$A$1:$AI$70,23,FALSE)</f>
        <v>10</v>
      </c>
      <c r="R83" s="1419">
        <f ca="1">IF(P83="","",IF($BD$1&lt;=7,IF(VLOOKUP(P83,$A$2:$AI$70,3,FALSE)=3,VLOOKUP(P83,$A$2:$AI$70,17,FALSE),0)+IF(VLOOKUP(P83,$A$2:$AI$70,4,FALSE)=3,VLOOKUP(P83,$A$2:$AI$70,18,FALSE),0)+IF(VLOOKUP(P83,$A$2:$AI$70,5,FALSE)=3,VLOOKUP(P83,$A$2:$AI$70,19,FALSE),0)+IF(VLOOKUP(P83,$A$2:$AI$70,6,FALSE)=3,VLOOKUP(P83,$A$2:$AI$70,20,FALSE),0)+IF(VLOOKUP(P83,$A$2:$AI$70,7,FALSE)=3,VLOOKUP(P83,$A$2:$AI$70,21,FALSE),0)+IF(VLOOKUP(P83,$A$2:$AI$70,8,FALSE)=3,VLOOKUP(P83,$A$2:$AI$70,22,FALSE),0)+IF(VLOOKUP(P83,$A$2:$AI$70,9,FALSE)=3,VLOOKUP(P83,$A$2:$AI$70,23,FALSE),0),IF(VLOOKUP(P83,$A$2:$AI$70,10,FALSE)=3,VLOOKUP(P83,$A$2:$AI$70,24,FALSE),0)+IF(VLOOKUP(P83,$A$2:$AI$70,11,FALSE)=3,VLOOKUP(P83,$A$2:$AI$70,25,FALSE),0)+IF(VLOOKUP(P83,$A$2:$AI$70,12,FALSE)=3,VLOOKUP(P83,$A$2:$AI$70,26,FALSE),0)+IF(VLOOKUP(P83,$A$2:$AI$70,13,FALSE)=3,VLOOKUP(P83,$A$2:$AI$70,27,FALSE),0)+IF(VLOOKUP(P83,$A$2:$AI$70,14,FALSE)=3,VLOOKUP(P83,$A$2:$AI$70,28,FALSE),0)+IF(VLOOKUP(P83,$A$2:$AI$70,15,FALSE)=3,VLOOKUP(P83,$A$2:$AI$70,29,FALSE),0)+IF(VLOOKUP(P83,$A$2:$AI$70,16,FALSE)=3,VLOOKUP(P83,$A$2:$AI$70,30,FALSE),0)))</f>
        <v>8</v>
      </c>
      <c r="S83" s="1411">
        <f ca="1">IF(P83="","",COUNTIF(P$76:V$81,P83)*S$92)</f>
        <v>18</v>
      </c>
      <c r="T83" s="769"/>
      <c r="U83" s="769"/>
      <c r="V83" s="769"/>
      <c r="W83" s="1421" t="str">
        <f ca="1">VLOOKUP(LARGE($CE$2:$CE$70,2),$CE$2:$CF$70,2,FALSE)</f>
        <v>Rochefort Reginald</v>
      </c>
      <c r="X83" s="1420">
        <f ca="1">VLOOKUP(W83,$A$1:$AI$70,17,FALSE)+VLOOKUP(W83,$A$1:$AI$70,18,FALSE)+VLOOKUP(W83,$A$1:$AI$70,19,FALSE)+VLOOKUP(W83,$A$1:$AI$70,20,FALSE)+VLOOKUP(W83,$A$1:$AI$70,21,FALSE)+VLOOKUP(W83,$A$1:$AI$70,22,FALSE)+VLOOKUP(W83,$A$1:$AI$70,23,FALSE)</f>
        <v>4</v>
      </c>
      <c r="Y83" s="1419">
        <f ca="1">IF(W83="","",IF($BD$1&lt;=7,IF(VLOOKUP(W83,$A$2:$AI$70,3,FALSE)=4,VLOOKUP(W83,$A$2:$AI$70,17,FALSE),0)+IF(VLOOKUP(W83,$A$2:$AI$70,4,FALSE)=4,VLOOKUP(W83,$A$2:$AI$70,18,FALSE),0)+IF(VLOOKUP(W83,$A$2:$AI$70,5,FALSE)=4,VLOOKUP(W83,$A$2:$AI$70,19,FALSE),0)+IF(VLOOKUP(W83,$A$2:$AI$70,6,FALSE)=4,VLOOKUP(W83,$A$2:$AI$70,20,FALSE),0)+IF(VLOOKUP(W83,$A$2:$AI$70,7,FALSE)=4,VLOOKUP(W83,$A$2:$AI$70,21,FALSE),0)+IF(VLOOKUP(W83,$A$2:$AI$70,8,FALSE)=4,VLOOKUP(W83,$A$2:$AI$70,22,FALSE),0)+IF(VLOOKUP(W83,$A$2:$AI$70,9,FALSE)=4,VLOOKUP(W83,$A$2:$AI$70,23,FALSE),0),IF(VLOOKUP(W83,$A$2:$AI$70,10,FALSE)=4,VLOOKUP(W83,$A$2:$AI$70,24,FALSE),0)+IF(VLOOKUP(W83,$A$2:$AI$70,11,FALSE)=4,VLOOKUP(W83,$A$2:$AI$70,25,FALSE),0)+IF(VLOOKUP(W83,$A$2:$AI$70,12,FALSE)=4,VLOOKUP(W83,$A$2:$AI$70,26,FALSE),0)+IF(VLOOKUP(W83,$A$2:$AI$70,13,FALSE)=4,VLOOKUP(W83,$A$2:$AI$70,27,FALSE),0)+IF(VLOOKUP(W83,$A$2:$AI$70,14,FALSE)=4,VLOOKUP(W83,$A$2:$AI$70,28,FALSE),0)+IF(VLOOKUP(W83,$A$2:$AI$70,15,FALSE)=4,VLOOKUP(W83,$A$2:$AI$70,29,FALSE),0)+IF(VLOOKUP(W83,$A$2:$AI$70,16,FALSE)=4,VLOOKUP(W83,$A$2:$AI$70,30,FALSE),0)))</f>
        <v>10</v>
      </c>
      <c r="Z83" s="1411">
        <f ca="1">IF(W83="","",COUNTIF(W$76:AC$81,W83)*Z$92)</f>
        <v>18</v>
      </c>
      <c r="AA83" s="769"/>
      <c r="AB83" s="769"/>
      <c r="AC83" s="769"/>
      <c r="AD83" s="1421" t="str">
        <f ca="1">VLOOKUP(LARGE($CG$2:$CG$70,2),$CG$2:$CH$70,2,FALSE)</f>
        <v>Le Cam Alan</v>
      </c>
      <c r="AE83" s="1420">
        <f ca="1">VLOOKUP(AD83,$A$1:$AI$70,17,FALSE)+VLOOKUP(AD83,$A$1:$AI$70,18,FALSE)+VLOOKUP(AD83,$A$1:$AI$70,19,FALSE)+VLOOKUP(AD83,$A$1:$AI$70,20,FALSE)+VLOOKUP(AD83,$A$1:$AI$70,21,FALSE)+VLOOKUP(AD83,$A$1:$AI$70,22,FALSE)+VLOOKUP(AD83,$A$1:$AI$70,23,FALSE)</f>
        <v>11</v>
      </c>
      <c r="AF83" s="1419">
        <f ca="1">IF(AD83="","",IF($BD$1&lt;=7,IF(VLOOKUP(AD83,$A$2:$AI$70,3,FALSE)=5,VLOOKUP(AD83,$A$2:$AI$70,17,FALSE),0)+IF(VLOOKUP(AD83,$A$2:$AI$70,4,FALSE)=5,VLOOKUP(AD83,$A$2:$AI$70,18,FALSE),0)+IF(VLOOKUP(AD83,$A$2:$AI$70,5,FALSE)=5,VLOOKUP(AD83,$A$2:$AI$70,19,FALSE),0)+IF(VLOOKUP(AD83,$A$2:$AI$70,6,FALSE)=5,VLOOKUP(AD83,$A$2:$AI$70,20,FALSE),0)+IF(VLOOKUP(AD83,$A$2:$AI$70,7,FALSE)=5,VLOOKUP(AD83,$A$2:$AI$70,21,FALSE),0)+IF(VLOOKUP(AD83,$A$2:$AI$70,8,FALSE)=5,VLOOKUP(AD83,$A$2:$AI$70,22,FALSE),0)+IF(VLOOKUP(AD83,$A$2:$AI$70,9,FALSE)=5,VLOOKUP(AD83,$A$2:$AI$70,23,FALSE),0),IF(VLOOKUP(AD83,$A$2:$AI$70,10,FALSE)=5,VLOOKUP(AD83,$A$2:$AI$70,24,FALSE),0)+IF(VLOOKUP(AD83,$A$2:$AI$70,11,FALSE)=5,VLOOKUP(AD83,$A$2:$AI$70,25,FALSE),0)+IF(VLOOKUP(AD83,$A$2:$AI$70,12,FALSE)=5,VLOOKUP(AD83,$A$2:$AI$70,26,FALSE),0)+IF(VLOOKUP(AD83,$A$2:$AI$70,13,FALSE)=5,VLOOKUP(AD83,$A$2:$AI$70,27,FALSE),0)+IF(VLOOKUP(AD83,$A$2:$AI$70,14,FALSE)=5,VLOOKUP(AD83,$A$2:$AI$70,28,FALSE),0)+IF(VLOOKUP(AD83,$A$2:$AI$70,15,FALSE)=5,VLOOKUP(AD83,$A$2:$AI$70,29,FALSE),0)+IF(VLOOKUP(AD83,$A$2:$AI$70,16,FALSE)=5,VLOOKUP(AD83,$A$2:$AI$70,30,FALSE),0)))</f>
        <v>7</v>
      </c>
      <c r="AG83" s="1411">
        <f ca="1">IF(AD83="","",COUNTIF(AD$76:AJ$81,AD83)*AG$92)</f>
        <v>18</v>
      </c>
      <c r="AH83" s="1413"/>
      <c r="AI83" s="769"/>
      <c r="AJ83" s="769"/>
      <c r="AK83" s="1421" t="str">
        <f ca="1">VLOOKUP(LARGE($CI$2:$CI$70,2),$CI$2:$CJ$70,2,FALSE)</f>
        <v>Lecossier Michel</v>
      </c>
      <c r="AL83" s="1420">
        <f ca="1">VLOOKUP(AK83,$A$1:$AI$70,17,FALSE)+VLOOKUP(AK83,$A$1:$AI$70,18,FALSE)+VLOOKUP(AK83,$A$1:$AI$70,19,FALSE)+VLOOKUP(AK83,$A$1:$AI$70,20,FALSE)+VLOOKUP(AK83,$A$1:$AI$70,21,FALSE)+VLOOKUP(AK83,$A$1:$AI$70,22,FALSE)+VLOOKUP(AK83,$A$1:$AI$70,23,FALSE)</f>
        <v>1</v>
      </c>
      <c r="AM83" s="1419">
        <f ca="1">IF(AK83="","",IF($BD$1&lt;=7,IF(VLOOKUP(AK83,$A$2:$AI$70,3,FALSE)=6,VLOOKUP(AK83,$A$2:$AI$70,17,FALSE),0)+IF(VLOOKUP(AK83,$A$2:$AI$70,4,FALSE)=6,VLOOKUP(AK83,$A$2:$AI$70,18,FALSE),0)+IF(VLOOKUP(AK83,$A$2:$AI$70,5,FALSE)=6,VLOOKUP(AK83,$A$2:$AI$70,19,FALSE),0)+IF(VLOOKUP(AK83,$A$2:$AI$70,6,FALSE)=6,VLOOKUP(AK83,$A$2:$AI$70,20,FALSE),0)+IF(VLOOKUP(AK83,$A$2:$AI$70,7,FALSE)=6,VLOOKUP(AK83,$A$2:$AI$70,21,FALSE),0)+IF(VLOOKUP(AK83,$A$2:$AI$70,8,FALSE)=6,VLOOKUP(AK83,$A$2:$AI$70,22,FALSE),0)+IF(VLOOKUP(AK83,$A$2:$AI$70,9,FALSE)=6,VLOOKUP(AK83,$A$2:$AI$70,23,FALSE),0),IF(VLOOKUP(AK83,$A$2:$AI$70,10,FALSE)=6,VLOOKUP(AK83,$A$2:$AI$70,24,FALSE),0)+IF(VLOOKUP(AK83,$A$2:$AI$70,11,FALSE)=6,VLOOKUP(AK83,$A$2:$AI$70,25,FALSE),0)+IF(VLOOKUP(AK83,$A$2:$AI$70,12,FALSE)=6,VLOOKUP(AK83,$A$2:$AI$70,26,FALSE),0)+IF(VLOOKUP(AK83,$A$2:$AI$70,13,FALSE)=6,VLOOKUP(AK83,$A$2:$AI$70,27,FALSE),0)+IF(VLOOKUP(AK83,$A$2:$AI$70,14,FALSE)=6,VLOOKUP(AK83,$A$2:$AI$70,28,FALSE),0)+IF(VLOOKUP(AK83,$A$2:$AI$70,15,FALSE)=6,VLOOKUP(AK83,$A$2:$AI$70,29,FALSE),0)+IF(VLOOKUP(AK83,$A$2:$AI$70,16,FALSE)=6,VLOOKUP(AK83,$A$2:$AI$70,30,FALSE),0)))</f>
        <v>13</v>
      </c>
      <c r="AN83" s="1411">
        <f ca="1">IF(AK83="","",COUNTIF(AK$76:AQ$81,AK83)*AN$92)</f>
        <v>18</v>
      </c>
      <c r="AO83" s="769"/>
      <c r="AP83" s="769"/>
      <c r="AQ83" s="769"/>
      <c r="AR83" s="1421" t="str">
        <f ca="1">VLOOKUP(LARGE($CK$2:$CK$70,2),$CK$2:$CL$70,2,FALSE)</f>
        <v>Zaragoza Quentin</v>
      </c>
      <c r="AS83" s="1420">
        <f ca="1">VLOOKUP(AR83,$A$1:$AI$70,17,FALSE)+VLOOKUP(AR83,$A$1:$AI$70,18,FALSE)+VLOOKUP(AR83,$A$1:$AI$70,19,FALSE)+VLOOKUP(AR83,$A$1:$AI$70,20,FALSE)+VLOOKUP(AR83,$A$1:$AI$70,21,FALSE)+VLOOKUP(AR83,$A$1:$AI$70,22,FALSE)+VLOOKUP(AR83,$A$1:$AI$70,23,FALSE)</f>
        <v>8</v>
      </c>
      <c r="AT83" s="1419">
        <f ca="1">IF(AR83="","",IF($BD$1&lt;=7,IF(VLOOKUP(AR83,$A$2:$AI$70,3,FALSE)=7,VLOOKUP(AR83,$A$2:$AI$70,17,FALSE),0)+IF(VLOOKUP(AR83,$A$2:$AI$70,4,FALSE)=7,VLOOKUP(AR83,$A$2:$AI$70,18,FALSE),0)+IF(VLOOKUP(AR83,$A$2:$AI$70,5,FALSE)=7,VLOOKUP(AR83,$A$2:$AI$70,19,FALSE),0)+IF(VLOOKUP(AR83,$A$2:$AI$70,6,FALSE)=7,VLOOKUP(AR83,$A$2:$AI$70,20,FALSE),0)+IF(VLOOKUP(AR83,$A$2:$AI$70,7,FALSE)=7,VLOOKUP(AR83,$A$2:$AI$70,21,FALSE),0)+IF(VLOOKUP(AR83,$A$2:$AI$70,8,FALSE)=7,VLOOKUP(AR83,$A$2:$AI$70,22,FALSE),0)+IF(VLOOKUP(AR83,$A$2:$AI$70,9,FALSE)=7,VLOOKUP(AR83,$A$2:$AI$70,23,FALSE),0),IF(VLOOKUP(AR83,$A$2:$AI$70,10,FALSE)=7,VLOOKUP(AR83,$A$2:$AI$70,24,FALSE),0)+IF(VLOOKUP(AR83,$A$2:$AI$70,11,FALSE)=7,VLOOKUP(AR83,$A$2:$AI$70,25,FALSE),0)+IF(VLOOKUP(AR83,$A$2:$AI$70,12,FALSE)=7,VLOOKUP(AR83,$A$2:$AI$70,26,FALSE),0)+IF(VLOOKUP(AR83,$A$2:$AI$70,13,FALSE)=7,VLOOKUP(AR83,$A$2:$AI$70,27,FALSE),0)+IF(VLOOKUP(AR83,$A$2:$AI$70,14,FALSE)=7,VLOOKUP(AR83,$A$2:$AI$70,28,FALSE),0)+IF(VLOOKUP(AR83,$A$2:$AI$70,15,FALSE)=7,VLOOKUP(AR83,$A$2:$AI$70,29,FALSE),0)+IF(VLOOKUP(AR83,$A$2:$AI$70,16,FALSE)=7,VLOOKUP(AR83,$A$2:$AI$70,30,FALSE),0)))</f>
        <v>4</v>
      </c>
      <c r="AU83" s="1411">
        <f ca="1">IF(AR83="","",COUNTIF(AR$76:AX$81,AR83)*AU$92)</f>
        <v>18</v>
      </c>
      <c r="AV83" s="769"/>
      <c r="AW83" s="769"/>
      <c r="AX83" s="1414"/>
      <c r="AY83" s="1588" t="str">
        <f ca="1">VLOOKUP(LARGE($CM$2:$CM$70,2),$CM$2:$CN$70,2,FALSE)</f>
        <v>Ravel Serge</v>
      </c>
      <c r="AZ83" s="1584">
        <f ca="1">VLOOKUP(AY83,$A$1:$AI$70,17,FALSE)+VLOOKUP(AY83,$A$1:$AI$70,18,FALSE)+VLOOKUP(AY83,$A$1:$AI$70,19,FALSE)+VLOOKUP(AY83,$A$1:$AI$70,20,FALSE)+VLOOKUP(AY83,$A$1:$AI$70,21,FALSE)+VLOOKUP(AY83,$A$1:$AI$70,22,FALSE)+VLOOKUP(AY83,$A$1:$AI$70,23,FALSE)</f>
        <v>0</v>
      </c>
      <c r="BA83" s="1419">
        <f ca="1">IF(AY83="","",IF($BD$1&lt;=7,IF(VLOOKUP(AY83,$A$2:$AI$70,3,FALSE)=8,VLOOKUP(AY83,$A$2:$AI$70,17,FALSE),0)+IF(VLOOKUP(AY83,$A$2:$AI$70,4,FALSE)=8,VLOOKUP(AY83,$A$2:$AI$70,18,FALSE),0)+IF(VLOOKUP(AY83,$A$2:$AI$70,5,FALSE)=8,VLOOKUP(AY83,$A$2:$AI$70,19,FALSE),0)+IF(VLOOKUP(AY83,$A$2:$AI$70,6,FALSE)=8,VLOOKUP(AY83,$A$2:$AI$70,20,FALSE),0)+IF(VLOOKUP(AY83,$A$2:$AI$70,7,FALSE)=8,VLOOKUP(AY83,$A$2:$AI$70,21,FALSE),0)+IF(VLOOKUP(AY83,$A$2:$AI$70,8,FALSE)=8,VLOOKUP(AY83,$A$2:$AI$70,22,FALSE),0)+IF(VLOOKUP(AY83,$A$2:$AI$70,9,FALSE)=8,VLOOKUP(AY83,$A$2:$AI$70,23,FALSE),0),IF(VLOOKUP(AY83,$A$2:$AI$70,10,FALSE)=8,VLOOKUP(AY83,$A$2:$AI$70,24,FALSE),0)+IF(VLOOKUP(AY83,$A$2:$AI$70,11,FALSE)=8,VLOOKUP(AY83,$A$2:$AI$70,25,FALSE),0)+IF(VLOOKUP(AY83,$A$2:$AI$70,12,FALSE)=8,VLOOKUP(AY83,$A$2:$AI$70,26,FALSE),0)+IF(VLOOKUP(AY83,$A$2:$AI$70,13,FALSE)=8,VLOOKUP(AY83,$A$2:$AI$70,27,FALSE),0)+IF(VLOOKUP(AY83,$A$2:$AI$70,14,FALSE)=8,VLOOKUP(AY83,$A$2:$AI$70,28,FALSE),0)+IF(VLOOKUP(AY83,$A$2:$AI$70,15,FALSE)=8,VLOOKUP(AY83,$A$2:$AI$70,29,FALSE),0)+IF(VLOOKUP(AY83,$A$2:$AI$70,16,FALSE)=8,VLOOKUP(AY83,$A$2:$AI$70,30,FALSE),0)))</f>
        <v>5</v>
      </c>
      <c r="BB83" s="1411">
        <f ca="1">IF(AY83="","",COUNTIF(AY$76:BE$81,AY83)*BB$92)</f>
        <v>15</v>
      </c>
      <c r="BC83" s="769"/>
      <c r="BD83" s="769"/>
      <c r="BE83" s="769"/>
      <c r="BF83" s="769"/>
      <c r="BG83" s="769"/>
      <c r="BH83" s="769"/>
      <c r="BI83" s="769"/>
      <c r="BJ83" s="769"/>
      <c r="BK83" s="769"/>
      <c r="BL83" s="769"/>
      <c r="BM83" s="769"/>
      <c r="BN83" s="769"/>
      <c r="BO83" s="769"/>
      <c r="BP83" s="769"/>
      <c r="BQ83" s="769"/>
      <c r="BR83" s="769"/>
      <c r="BS83" s="769"/>
      <c r="BT83" s="769"/>
      <c r="BU83" s="769"/>
      <c r="BV83" s="1415"/>
      <c r="BW83" s="1415"/>
      <c r="BX83" s="1415"/>
      <c r="BY83" s="1415"/>
      <c r="BZ83" s="1415"/>
      <c r="CA83" s="1415"/>
      <c r="CB83" s="1415"/>
      <c r="CC83" s="1415"/>
      <c r="CD83" s="1415"/>
      <c r="CE83" s="1415"/>
      <c r="CF83" s="1415"/>
      <c r="CG83" s="1415"/>
      <c r="CH83" s="1415"/>
      <c r="CI83" s="1415"/>
      <c r="CJ83" s="1415"/>
      <c r="CK83" s="1415"/>
      <c r="CL83" s="1415"/>
      <c r="CM83" s="1415"/>
      <c r="CN83" s="1415"/>
      <c r="CO83" s="1406"/>
      <c r="CP83" s="81"/>
      <c r="CQ83" s="81"/>
      <c r="DC83" s="1403"/>
      <c r="DD83" s="1405"/>
      <c r="DF83" s="1404"/>
      <c r="DH83" s="86"/>
      <c r="DI83" s="86"/>
      <c r="DK83"/>
      <c r="DL83" s="769"/>
      <c r="DM83" s="554"/>
      <c r="DN83" s="554"/>
      <c r="DO83" s="1401"/>
      <c r="DP83" s="1400"/>
      <c r="DQ83"/>
      <c r="DR83"/>
    </row>
    <row r="84" spans="1:122" ht="15.75">
      <c r="A84" s="1418" t="s">
        <v>710</v>
      </c>
      <c r="B84" s="1421" t="str">
        <f ca="1">VLOOKUP(LARGE($BY$2:$BY$70,3),$BY$2:$BZ$70,2,FALSE)</f>
        <v>Nicolas Jérémy</v>
      </c>
      <c r="C84" s="1420">
        <f ca="1">VLOOKUP(B84,$A$1:$AI$70,17,FALSE)+VLOOKUP(B84,$A$1:$AI$70,18,FALSE)+VLOOKUP(B84,$A$1:$AI$70,19,FALSE)+VLOOKUP(B84,$A$1:$AI$70,20,FALSE)+VLOOKUP(B84,$A$1:$AI$70,21,FALSE)+VLOOKUP(B84,$A$1:$AI$70,22,FALSE)+VLOOKUP(B84,$A$1:$AI$70,23,FALSE)</f>
        <v>21</v>
      </c>
      <c r="D84" s="1419">
        <f ca="1">IF(B84="","",IF($BD$1&lt;=7,IF(VLOOKUP(B84,$A$2:$AI$70,3,FALSE)=1,VLOOKUP(B84,$A$2:$AI$70,17,FALSE),0)+IF(VLOOKUP(B84,$A$2:$AI$70,4,FALSE)=1,VLOOKUP(B84,$A$2:$AI$70,18,FALSE),0)+IF(VLOOKUP(B84,$A$2:$AI$70,5,FALSE)=1,VLOOKUP(B84,$A$2:$AI$70,19,FALSE),0)+IF(VLOOKUP(B84,$A$2:$AI$70,6,FALSE)=1,VLOOKUP(B84,$A$2:$AI$70,20,FALSE),0)+IF(VLOOKUP(B84,$A$2:$AI$70,7,FALSE)=1,VLOOKUP(B84,$A$2:$AI$70,21,FALSE),0)+IF(VLOOKUP(B84,$A$2:$AI$70,8,FALSE)=1,VLOOKUP(B84,$A$2:$AI$70,22,FALSE),0)+IF(VLOOKUP(B84,$A$2:$AI$70,9,FALSE)=1,VLOOKUP(B84,$A$2:$AI$70,23,FALSE),0),IF(VLOOKUP(B84,$A$2:$AI$70,10,FALSE)=1,VLOOKUP(B84,$A$2:$AI$70,24,FALSE),0)+IF(VLOOKUP(B84,$A$2:$AI$70,11,FALSE)=1,VLOOKUP(B84,$A$2:$AI$70,25,FALSE),0)+IF(VLOOKUP(B84,$A$2:$AI$70,12,FALSE)=1,VLOOKUP(B84,$A$2:$AI$70,26,FALSE),0)+IF(VLOOKUP(B84,$A$2:$AI$70,13,FALSE)=1,VLOOKUP(B84,$A$2:$AI$70,27,FALSE),0)+IF(VLOOKUP(B84,$A$2:$AI$70,14,FALSE)=1,VLOOKUP(B84,$A$2:$AI$70,28,FALSE),0)+IF(VLOOKUP(B84,$A$2:$AI$70,15,FALSE)=1,VLOOKUP(B84,$A$2:$AI$70,29,FALSE),0)+IF(VLOOKUP(B84,$A$2:$AI$70,16,FALSE)=1,VLOOKUP(B84,$A$2:$AI$70,30,FALSE),0)))</f>
        <v>9</v>
      </c>
      <c r="E84" s="1411">
        <f ca="1">IF(B84="","",COUNTIF(B$76:H$81,B84)*E$92)</f>
        <v>15</v>
      </c>
      <c r="G84" s="1402"/>
      <c r="H84" s="1402"/>
      <c r="I84" s="1421" t="str">
        <f ca="1">VLOOKUP(LARGE($CA$2:$CA$70,3),$CA$2:$CB$70,2,FALSE)</f>
        <v>Morin Quentin</v>
      </c>
      <c r="J84" s="1420">
        <f ca="1">VLOOKUP(I84,$A$1:$AI$70,17,FALSE)+VLOOKUP(I84,$A$1:$AI$70,18,FALSE)+VLOOKUP(I84,$A$1:$AI$70,19,FALSE)+VLOOKUP(I84,$A$1:$AI$70,20,FALSE)+VLOOKUP(I84,$A$1:$AI$70,21,FALSE)+VLOOKUP(I84,$A$1:$AI$70,22,FALSE)+VLOOKUP(I84,$A$1:$AI$70,23,FALSE)</f>
        <v>13</v>
      </c>
      <c r="K84" s="1419">
        <f ca="1">IF(I84="","",IF($BD$1&lt;=7,IF(VLOOKUP(I84,$A$2:$AI$70,3,FALSE)=2,VLOOKUP(I84,$A$2:$AI$70,17,FALSE),0)+IF(VLOOKUP(I84,$A$2:$AI$70,4,FALSE)=2,VLOOKUP(I84,$A$2:$AI$70,18,FALSE),0)+IF(VLOOKUP(I84,$A$2:$AI$70,5,FALSE)=2,VLOOKUP(I84,$A$2:$AI$70,19,FALSE),0)+IF(VLOOKUP(I84,$A$2:$AI$70,6,FALSE)=2,VLOOKUP(I84,$A$2:$AI$70,20,FALSE),0)+IF(VLOOKUP(I84,$A$2:$AI$70,7,FALSE)=2,VLOOKUP(I84,$A$2:$AI$70,21,FALSE),0)+IF(VLOOKUP(I84,$A$2:$AI$70,8,FALSE)=2,VLOOKUP(I84,$A$2:$AI$70,22,FALSE),0)+IF(VLOOKUP(I84,$A$2:$AI$70,9,FALSE)=2,VLOOKUP(I84,$A$2:$AI$70,23,FALSE),0),IF(VLOOKUP(I84,$A$2:$AI$70,10,FALSE)=2,VLOOKUP(I84,$A$2:$AI$70,24,FALSE),0)+IF(VLOOKUP(I84,$A$2:$AI$70,11,FALSE)=2,VLOOKUP(I84,$A$2:$AI$70,25,FALSE),0)+IF(VLOOKUP(I84,$A$2:$AI$70,12,FALSE)=2,VLOOKUP(I84,$A$2:$AI$70,26,FALSE),0)+IF(VLOOKUP(I84,$A$2:$AI$70,13,FALSE)=2,VLOOKUP(I84,$A$2:$AI$70,27,FALSE),0)+IF(VLOOKUP(I84,$A$2:$AI$70,14,FALSE)=2,VLOOKUP(I84,$A$2:$AI$70,28,FALSE),0)+IF(VLOOKUP(I84,$A$2:$AI$70,15,FALSE)=2,VLOOKUP(I84,$A$2:$AI$70,29,FALSE),0)+IF(VLOOKUP(I84,$A$2:$AI$70,16,FALSE)=2,VLOOKUP(I84,$A$2:$AI$70,30,FALSE),0)))</f>
        <v>6</v>
      </c>
      <c r="L84" s="1411">
        <f ca="1">IF(I84="","",COUNTIF(I$76:O$81,I84)*L$92)</f>
        <v>15</v>
      </c>
      <c r="M84" s="769"/>
      <c r="N84" s="769"/>
      <c r="O84" s="769"/>
      <c r="P84" s="1421" t="str">
        <f ca="1">VLOOKUP(LARGE($CC$2:$CC$70,3),$CC$2:$CD$70,2,FALSE)</f>
        <v>Cojean Youen</v>
      </c>
      <c r="Q84" s="1420">
        <f ca="1">VLOOKUP(P84,$A$1:$AI$70,17,FALSE)+VLOOKUP(P84,$A$1:$AI$70,18,FALSE)+VLOOKUP(P84,$A$1:$AI$70,19,FALSE)+VLOOKUP(P84,$A$1:$AI$70,20,FALSE)+VLOOKUP(P84,$A$1:$AI$70,21,FALSE)+VLOOKUP(P84,$A$1:$AI$70,22,FALSE)+VLOOKUP(P84,$A$1:$AI$70,23,FALSE)</f>
        <v>12</v>
      </c>
      <c r="R84" s="1419">
        <f ca="1">IF(P84="","",IF($BD$1&lt;=7,IF(VLOOKUP(P84,$A$2:$AI$70,3,FALSE)=3,VLOOKUP(P84,$A$2:$AI$70,17,FALSE),0)+IF(VLOOKUP(P84,$A$2:$AI$70,4,FALSE)=3,VLOOKUP(P84,$A$2:$AI$70,18,FALSE),0)+IF(VLOOKUP(P84,$A$2:$AI$70,5,FALSE)=3,VLOOKUP(P84,$A$2:$AI$70,19,FALSE),0)+IF(VLOOKUP(P84,$A$2:$AI$70,6,FALSE)=3,VLOOKUP(P84,$A$2:$AI$70,20,FALSE),0)+IF(VLOOKUP(P84,$A$2:$AI$70,7,FALSE)=3,VLOOKUP(P84,$A$2:$AI$70,21,FALSE),0)+IF(VLOOKUP(P84,$A$2:$AI$70,8,FALSE)=3,VLOOKUP(P84,$A$2:$AI$70,22,FALSE),0)+IF(VLOOKUP(P84,$A$2:$AI$70,9,FALSE)=3,VLOOKUP(P84,$A$2:$AI$70,23,FALSE),0),IF(VLOOKUP(P84,$A$2:$AI$70,10,FALSE)=3,VLOOKUP(P84,$A$2:$AI$70,24,FALSE),0)+IF(VLOOKUP(P84,$A$2:$AI$70,11,FALSE)=3,VLOOKUP(P84,$A$2:$AI$70,25,FALSE),0)+IF(VLOOKUP(P84,$A$2:$AI$70,12,FALSE)=3,VLOOKUP(P84,$A$2:$AI$70,26,FALSE),0)+IF(VLOOKUP(P84,$A$2:$AI$70,13,FALSE)=3,VLOOKUP(P84,$A$2:$AI$70,27,FALSE),0)+IF(VLOOKUP(P84,$A$2:$AI$70,14,FALSE)=3,VLOOKUP(P84,$A$2:$AI$70,28,FALSE),0)+IF(VLOOKUP(P84,$A$2:$AI$70,15,FALSE)=3,VLOOKUP(P84,$A$2:$AI$70,29,FALSE),0)+IF(VLOOKUP(P84,$A$2:$AI$70,16,FALSE)=3,VLOOKUP(P84,$A$2:$AI$70,30,FALSE),0)))</f>
        <v>8</v>
      </c>
      <c r="S84" s="1411">
        <f ca="1">IF(P84="","",COUNTIF(P$76:V$81,P84)*S$92)</f>
        <v>15</v>
      </c>
      <c r="T84" s="769"/>
      <c r="U84" s="769"/>
      <c r="V84" s="769"/>
      <c r="W84" s="1421" t="str">
        <f ca="1">VLOOKUP(LARGE($CE$2:$CE$70,3),$CE$2:$CF$70,2,FALSE)</f>
        <v>Mierzwa Julien</v>
      </c>
      <c r="X84" s="1420">
        <f ca="1">VLOOKUP(W84,$A$1:$AI$70,17,FALSE)+VLOOKUP(W84,$A$1:$AI$70,18,FALSE)+VLOOKUP(W84,$A$1:$AI$70,19,FALSE)+VLOOKUP(W84,$A$1:$AI$70,20,FALSE)+VLOOKUP(W84,$A$1:$AI$70,21,FALSE)+VLOOKUP(W84,$A$1:$AI$70,22,FALSE)+VLOOKUP(W84,$A$1:$AI$70,23,FALSE)</f>
        <v>4</v>
      </c>
      <c r="Y84" s="1419">
        <f ca="1">IF(W84="","",IF($BD$1&lt;=7,IF(VLOOKUP(W84,$A$2:$AI$70,3,FALSE)=4,VLOOKUP(W84,$A$2:$AI$70,17,FALSE),0)+IF(VLOOKUP(W84,$A$2:$AI$70,4,FALSE)=4,VLOOKUP(W84,$A$2:$AI$70,18,FALSE),0)+IF(VLOOKUP(W84,$A$2:$AI$70,5,FALSE)=4,VLOOKUP(W84,$A$2:$AI$70,19,FALSE),0)+IF(VLOOKUP(W84,$A$2:$AI$70,6,FALSE)=4,VLOOKUP(W84,$A$2:$AI$70,20,FALSE),0)+IF(VLOOKUP(W84,$A$2:$AI$70,7,FALSE)=4,VLOOKUP(W84,$A$2:$AI$70,21,FALSE),0)+IF(VLOOKUP(W84,$A$2:$AI$70,8,FALSE)=4,VLOOKUP(W84,$A$2:$AI$70,22,FALSE),0)+IF(VLOOKUP(W84,$A$2:$AI$70,9,FALSE)=4,VLOOKUP(W84,$A$2:$AI$70,23,FALSE),0),IF(VLOOKUP(W84,$A$2:$AI$70,10,FALSE)=4,VLOOKUP(W84,$A$2:$AI$70,24,FALSE),0)+IF(VLOOKUP(W84,$A$2:$AI$70,11,FALSE)=4,VLOOKUP(W84,$A$2:$AI$70,25,FALSE),0)+IF(VLOOKUP(W84,$A$2:$AI$70,12,FALSE)=4,VLOOKUP(W84,$A$2:$AI$70,26,FALSE),0)+IF(VLOOKUP(W84,$A$2:$AI$70,13,FALSE)=4,VLOOKUP(W84,$A$2:$AI$70,27,FALSE),0)+IF(VLOOKUP(W84,$A$2:$AI$70,14,FALSE)=4,VLOOKUP(W84,$A$2:$AI$70,28,FALSE),0)+IF(VLOOKUP(W84,$A$2:$AI$70,15,FALSE)=4,VLOOKUP(W84,$A$2:$AI$70,29,FALSE),0)+IF(VLOOKUP(W84,$A$2:$AI$70,16,FALSE)=4,VLOOKUP(W84,$A$2:$AI$70,30,FALSE),0)))</f>
        <v>7</v>
      </c>
      <c r="Z84" s="1411">
        <f ca="1">IF(W84="","",COUNTIF(W$76:AC$81,W84)*Z$92)</f>
        <v>15</v>
      </c>
      <c r="AA84" s="769"/>
      <c r="AB84" s="769"/>
      <c r="AC84" s="769"/>
      <c r="AD84" s="1421" t="str">
        <f ca="1">VLOOKUP(LARGE($CG$2:$CG$70,3),$CG$2:$CH$70,2,FALSE)</f>
        <v>Touche Rémy</v>
      </c>
      <c r="AE84" s="1420">
        <f ca="1">VLOOKUP(AD84,$A$1:$AI$70,17,FALSE)+VLOOKUP(AD84,$A$1:$AI$70,18,FALSE)+VLOOKUP(AD84,$A$1:$AI$70,19,FALSE)+VLOOKUP(AD84,$A$1:$AI$70,20,FALSE)+VLOOKUP(AD84,$A$1:$AI$70,21,FALSE)+VLOOKUP(AD84,$A$1:$AI$70,22,FALSE)+VLOOKUP(AD84,$A$1:$AI$70,23,FALSE)</f>
        <v>16</v>
      </c>
      <c r="AF84" s="1419">
        <f ca="1">IF(AD84="","",IF($BD$1&lt;=7,IF(VLOOKUP(AD84,$A$2:$AI$70,3,FALSE)=5,VLOOKUP(AD84,$A$2:$AI$70,17,FALSE),0)+IF(VLOOKUP(AD84,$A$2:$AI$70,4,FALSE)=5,VLOOKUP(AD84,$A$2:$AI$70,18,FALSE),0)+IF(VLOOKUP(AD84,$A$2:$AI$70,5,FALSE)=5,VLOOKUP(AD84,$A$2:$AI$70,19,FALSE),0)+IF(VLOOKUP(AD84,$A$2:$AI$70,6,FALSE)=5,VLOOKUP(AD84,$A$2:$AI$70,20,FALSE),0)+IF(VLOOKUP(AD84,$A$2:$AI$70,7,FALSE)=5,VLOOKUP(AD84,$A$2:$AI$70,21,FALSE),0)+IF(VLOOKUP(AD84,$A$2:$AI$70,8,FALSE)=5,VLOOKUP(AD84,$A$2:$AI$70,22,FALSE),0)+IF(VLOOKUP(AD84,$A$2:$AI$70,9,FALSE)=5,VLOOKUP(AD84,$A$2:$AI$70,23,FALSE),0),IF(VLOOKUP(AD84,$A$2:$AI$70,10,FALSE)=5,VLOOKUP(AD84,$A$2:$AI$70,24,FALSE),0)+IF(VLOOKUP(AD84,$A$2:$AI$70,11,FALSE)=5,VLOOKUP(AD84,$A$2:$AI$70,25,FALSE),0)+IF(VLOOKUP(AD84,$A$2:$AI$70,12,FALSE)=5,VLOOKUP(AD84,$A$2:$AI$70,26,FALSE),0)+IF(VLOOKUP(AD84,$A$2:$AI$70,13,FALSE)=5,VLOOKUP(AD84,$A$2:$AI$70,27,FALSE),0)+IF(VLOOKUP(AD84,$A$2:$AI$70,14,FALSE)=5,VLOOKUP(AD84,$A$2:$AI$70,28,FALSE),0)+IF(VLOOKUP(AD84,$A$2:$AI$70,15,FALSE)=5,VLOOKUP(AD84,$A$2:$AI$70,29,FALSE),0)+IF(VLOOKUP(AD84,$A$2:$AI$70,16,FALSE)=5,VLOOKUP(AD84,$A$2:$AI$70,30,FALSE),0)))</f>
        <v>11</v>
      </c>
      <c r="AG84" s="1411">
        <f ca="1">IF(AD84="","",COUNTIF(AD$76:AJ$81,AD84)*AG$92)</f>
        <v>15</v>
      </c>
      <c r="AH84" s="1413"/>
      <c r="AI84" s="769"/>
      <c r="AJ84" s="769"/>
      <c r="AK84" s="1421" t="str">
        <f ca="1">VLOOKUP(LARGE($CI$2:$CI$70,3),$CI$2:$CJ$70,2,FALSE)</f>
        <v>Boulaire Emile</v>
      </c>
      <c r="AL84" s="1420">
        <f ca="1">VLOOKUP(AK84,$A$1:$AI$70,17,FALSE)+VLOOKUP(AK84,$A$1:$AI$70,18,FALSE)+VLOOKUP(AK84,$A$1:$AI$70,19,FALSE)+VLOOKUP(AK84,$A$1:$AI$70,20,FALSE)+VLOOKUP(AK84,$A$1:$AI$70,21,FALSE)+VLOOKUP(AK84,$A$1:$AI$70,22,FALSE)+VLOOKUP(AK84,$A$1:$AI$70,23,FALSE)</f>
        <v>7</v>
      </c>
      <c r="AM84" s="1419">
        <f ca="1">IF(AK84="","",IF($BD$1&lt;=7,IF(VLOOKUP(AK84,$A$2:$AI$70,3,FALSE)=6,VLOOKUP(AK84,$A$2:$AI$70,17,FALSE),0)+IF(VLOOKUP(AK84,$A$2:$AI$70,4,FALSE)=6,VLOOKUP(AK84,$A$2:$AI$70,18,FALSE),0)+IF(VLOOKUP(AK84,$A$2:$AI$70,5,FALSE)=6,VLOOKUP(AK84,$A$2:$AI$70,19,FALSE),0)+IF(VLOOKUP(AK84,$A$2:$AI$70,6,FALSE)=6,VLOOKUP(AK84,$A$2:$AI$70,20,FALSE),0)+IF(VLOOKUP(AK84,$A$2:$AI$70,7,FALSE)=6,VLOOKUP(AK84,$A$2:$AI$70,21,FALSE),0)+IF(VLOOKUP(AK84,$A$2:$AI$70,8,FALSE)=6,VLOOKUP(AK84,$A$2:$AI$70,22,FALSE),0)+IF(VLOOKUP(AK84,$A$2:$AI$70,9,FALSE)=6,VLOOKUP(AK84,$A$2:$AI$70,23,FALSE),0),IF(VLOOKUP(AK84,$A$2:$AI$70,10,FALSE)=6,VLOOKUP(AK84,$A$2:$AI$70,24,FALSE),0)+IF(VLOOKUP(AK84,$A$2:$AI$70,11,FALSE)=6,VLOOKUP(AK84,$A$2:$AI$70,25,FALSE),0)+IF(VLOOKUP(AK84,$A$2:$AI$70,12,FALSE)=6,VLOOKUP(AK84,$A$2:$AI$70,26,FALSE),0)+IF(VLOOKUP(AK84,$A$2:$AI$70,13,FALSE)=6,VLOOKUP(AK84,$A$2:$AI$70,27,FALSE),0)+IF(VLOOKUP(AK84,$A$2:$AI$70,14,FALSE)=6,VLOOKUP(AK84,$A$2:$AI$70,28,FALSE),0)+IF(VLOOKUP(AK84,$A$2:$AI$70,15,FALSE)=6,VLOOKUP(AK84,$A$2:$AI$70,29,FALSE),0)+IF(VLOOKUP(AK84,$A$2:$AI$70,16,FALSE)=6,VLOOKUP(AK84,$A$2:$AI$70,30,FALSE),0)))</f>
        <v>8</v>
      </c>
      <c r="AN84" s="1411">
        <f ca="1">IF(AK84="","",COUNTIF(AK$76:AQ$81,AK84)*AN$92)</f>
        <v>12</v>
      </c>
      <c r="AO84" s="769"/>
      <c r="AP84" s="769"/>
      <c r="AQ84" s="769"/>
      <c r="AR84" s="1421" t="str">
        <f ca="1">VLOOKUP(LARGE($CK$2:$CK$70,3),$CK$2:$CL$70,2,FALSE)</f>
        <v>Zaragoza José</v>
      </c>
      <c r="AS84" s="1420">
        <f ca="1">VLOOKUP(AR84,$A$1:$AI$70,17,FALSE)+VLOOKUP(AR84,$A$1:$AI$70,18,FALSE)+VLOOKUP(AR84,$A$1:$AI$70,19,FALSE)+VLOOKUP(AR84,$A$1:$AI$70,20,FALSE)+VLOOKUP(AR84,$A$1:$AI$70,21,FALSE)+VLOOKUP(AR84,$A$1:$AI$70,22,FALSE)+VLOOKUP(AR84,$A$1:$AI$70,23,FALSE)</f>
        <v>18</v>
      </c>
      <c r="AT84" s="1419">
        <f ca="1">IF(AR84="","",IF($BD$1&lt;=7,IF(VLOOKUP(AR84,$A$2:$AI$70,3,FALSE)=7,VLOOKUP(AR84,$A$2:$AI$70,17,FALSE),0)+IF(VLOOKUP(AR84,$A$2:$AI$70,4,FALSE)=7,VLOOKUP(AR84,$A$2:$AI$70,18,FALSE),0)+IF(VLOOKUP(AR84,$A$2:$AI$70,5,FALSE)=7,VLOOKUP(AR84,$A$2:$AI$70,19,FALSE),0)+IF(VLOOKUP(AR84,$A$2:$AI$70,6,FALSE)=7,VLOOKUP(AR84,$A$2:$AI$70,20,FALSE),0)+IF(VLOOKUP(AR84,$A$2:$AI$70,7,FALSE)=7,VLOOKUP(AR84,$A$2:$AI$70,21,FALSE),0)+IF(VLOOKUP(AR84,$A$2:$AI$70,8,FALSE)=7,VLOOKUP(AR84,$A$2:$AI$70,22,FALSE),0)+IF(VLOOKUP(AR84,$A$2:$AI$70,9,FALSE)=7,VLOOKUP(AR84,$A$2:$AI$70,23,FALSE),0),IF(VLOOKUP(AR84,$A$2:$AI$70,10,FALSE)=7,VLOOKUP(AR84,$A$2:$AI$70,24,FALSE),0)+IF(VLOOKUP(AR84,$A$2:$AI$70,11,FALSE)=7,VLOOKUP(AR84,$A$2:$AI$70,25,FALSE),0)+IF(VLOOKUP(AR84,$A$2:$AI$70,12,FALSE)=7,VLOOKUP(AR84,$A$2:$AI$70,26,FALSE),0)+IF(VLOOKUP(AR84,$A$2:$AI$70,13,FALSE)=7,VLOOKUP(AR84,$A$2:$AI$70,27,FALSE),0)+IF(VLOOKUP(AR84,$A$2:$AI$70,14,FALSE)=7,VLOOKUP(AR84,$A$2:$AI$70,28,FALSE),0)+IF(VLOOKUP(AR84,$A$2:$AI$70,15,FALSE)=7,VLOOKUP(AR84,$A$2:$AI$70,29,FALSE),0)+IF(VLOOKUP(AR84,$A$2:$AI$70,16,FALSE)=7,VLOOKUP(AR84,$A$2:$AI$70,30,FALSE),0)))</f>
        <v>12</v>
      </c>
      <c r="AU84" s="1411">
        <f ca="1">IF(AR84="","",COUNTIF(AR$76:AX$81,AR84)*AU$92)</f>
        <v>15</v>
      </c>
      <c r="AV84" s="769"/>
      <c r="AW84" s="769"/>
      <c r="AX84" s="1414"/>
      <c r="AY84" s="1588" t="str">
        <f ca="1">VLOOKUP(LARGE($CM$2:$CM$70,3),$CM$2:$CN$70,2,FALSE)</f>
        <v>Guillotin Marie-Paule</v>
      </c>
      <c r="AZ84" s="1584">
        <f ca="1">VLOOKUP(AY84,$A$1:$AI$70,17,FALSE)+VLOOKUP(AY84,$A$1:$AI$70,18,FALSE)+VLOOKUP(AY84,$A$1:$AI$70,19,FALSE)+VLOOKUP(AY84,$A$1:$AI$70,20,FALSE)+VLOOKUP(AY84,$A$1:$AI$70,21,FALSE)+VLOOKUP(AY84,$A$1:$AI$70,22,FALSE)+VLOOKUP(AY84,$A$1:$AI$70,23,FALSE)</f>
        <v>5</v>
      </c>
      <c r="BA84" s="1419">
        <f ca="1">IF(AY84="","",IF($BD$1&lt;=7,IF(VLOOKUP(AY84,$A$2:$AI$70,3,FALSE)=8,VLOOKUP(AY84,$A$2:$AI$70,17,FALSE),0)+IF(VLOOKUP(AY84,$A$2:$AI$70,4,FALSE)=8,VLOOKUP(AY84,$A$2:$AI$70,18,FALSE),0)+IF(VLOOKUP(AY84,$A$2:$AI$70,5,FALSE)=8,VLOOKUP(AY84,$A$2:$AI$70,19,FALSE),0)+IF(VLOOKUP(AY84,$A$2:$AI$70,6,FALSE)=8,VLOOKUP(AY84,$A$2:$AI$70,20,FALSE),0)+IF(VLOOKUP(AY84,$A$2:$AI$70,7,FALSE)=8,VLOOKUP(AY84,$A$2:$AI$70,21,FALSE),0)+IF(VLOOKUP(AY84,$A$2:$AI$70,8,FALSE)=8,VLOOKUP(AY84,$A$2:$AI$70,22,FALSE),0)+IF(VLOOKUP(AY84,$A$2:$AI$70,9,FALSE)=8,VLOOKUP(AY84,$A$2:$AI$70,23,FALSE),0),IF(VLOOKUP(AY84,$A$2:$AI$70,10,FALSE)=8,VLOOKUP(AY84,$A$2:$AI$70,24,FALSE),0)+IF(VLOOKUP(AY84,$A$2:$AI$70,11,FALSE)=8,VLOOKUP(AY84,$A$2:$AI$70,25,FALSE),0)+IF(VLOOKUP(AY84,$A$2:$AI$70,12,FALSE)=8,VLOOKUP(AY84,$A$2:$AI$70,26,FALSE),0)+IF(VLOOKUP(AY84,$A$2:$AI$70,13,FALSE)=8,VLOOKUP(AY84,$A$2:$AI$70,27,FALSE),0)+IF(VLOOKUP(AY84,$A$2:$AI$70,14,FALSE)=8,VLOOKUP(AY84,$A$2:$AI$70,28,FALSE),0)+IF(VLOOKUP(AY84,$A$2:$AI$70,15,FALSE)=8,VLOOKUP(AY84,$A$2:$AI$70,29,FALSE),0)+IF(VLOOKUP(AY84,$A$2:$AI$70,16,FALSE)=8,VLOOKUP(AY84,$A$2:$AI$70,30,FALSE),0)))</f>
        <v>4</v>
      </c>
      <c r="BB84" s="1411">
        <f ca="1">IF(AY84="","",COUNTIF(AY$76:BE$81,AY84)*BB$92)</f>
        <v>15</v>
      </c>
      <c r="BC84" s="769"/>
      <c r="BD84" s="769"/>
      <c r="BE84" s="769"/>
      <c r="BF84" s="769"/>
      <c r="BG84" s="769"/>
      <c r="BH84" s="769"/>
      <c r="BI84" s="769"/>
      <c r="BJ84" s="769"/>
      <c r="BK84" s="769"/>
      <c r="BL84" s="769"/>
      <c r="BM84" s="769"/>
      <c r="BN84" s="769"/>
      <c r="BO84" s="769"/>
      <c r="BP84" s="769"/>
      <c r="BQ84" s="769"/>
      <c r="BR84" s="769"/>
      <c r="BS84" s="769"/>
      <c r="BT84" s="769"/>
      <c r="BU84" s="769"/>
      <c r="BV84" s="1415"/>
      <c r="BW84" s="1415"/>
      <c r="BX84" s="1415"/>
      <c r="BY84" s="1415"/>
      <c r="BZ84" s="1415"/>
      <c r="CA84" s="1415"/>
      <c r="CB84" s="1415"/>
      <c r="CC84" s="1415"/>
      <c r="CD84" s="1415"/>
      <c r="CE84" s="1415"/>
      <c r="CF84" s="1415"/>
      <c r="CG84" s="1415"/>
      <c r="CH84" s="1415"/>
      <c r="CI84" s="1415"/>
      <c r="CJ84" s="1415"/>
      <c r="CK84" s="1415"/>
      <c r="CL84" s="1415"/>
      <c r="CM84" s="1415"/>
      <c r="CN84" s="1415"/>
      <c r="CO84" s="1406"/>
      <c r="CP84" s="81"/>
      <c r="CQ84" s="81"/>
      <c r="DC84" s="1403"/>
      <c r="DD84" s="1405"/>
      <c r="DF84" s="1404"/>
      <c r="DH84" s="86"/>
      <c r="DI84" s="86"/>
      <c r="DK84"/>
      <c r="DL84" s="769"/>
      <c r="DM84" s="554"/>
      <c r="DN84" s="554"/>
      <c r="DO84" s="1401"/>
      <c r="DP84" s="1400"/>
      <c r="DQ84"/>
      <c r="DR84"/>
    </row>
    <row r="85" spans="1:122" ht="15.75">
      <c r="A85" s="1418" t="s">
        <v>709</v>
      </c>
      <c r="B85" s="1421" t="str">
        <f ca="1">VLOOKUP(LARGE($BY$2:$BY$70,4),$BY$2:$BZ$70,2,FALSE)</f>
        <v>Flégeau Matthieu</v>
      </c>
      <c r="C85" s="1420">
        <f ca="1">VLOOKUP(B85,$A$1:$AI$70,17,FALSE)+VLOOKUP(B85,$A$1:$AI$70,18,FALSE)+VLOOKUP(B85,$A$1:$AI$70,19,FALSE)+VLOOKUP(B85,$A$1:$AI$70,20,FALSE)+VLOOKUP(B85,$A$1:$AI$70,21,FALSE)+VLOOKUP(B85,$A$1:$AI$70,22,FALSE)+VLOOKUP(B85,$A$1:$AI$70,23,FALSE)</f>
        <v>13</v>
      </c>
      <c r="D85" s="1419">
        <f ca="1">IF(B85="","",IF($BD$1&lt;=7,IF(VLOOKUP(B85,$A$2:$AI$70,3,FALSE)=1,VLOOKUP(B85,$A$2:$AI$70,17,FALSE),0)+IF(VLOOKUP(B85,$A$2:$AI$70,4,FALSE)=1,VLOOKUP(B85,$A$2:$AI$70,18,FALSE),0)+IF(VLOOKUP(B85,$A$2:$AI$70,5,FALSE)=1,VLOOKUP(B85,$A$2:$AI$70,19,FALSE),0)+IF(VLOOKUP(B85,$A$2:$AI$70,6,FALSE)=1,VLOOKUP(B85,$A$2:$AI$70,20,FALSE),0)+IF(VLOOKUP(B85,$A$2:$AI$70,7,FALSE)=1,VLOOKUP(B85,$A$2:$AI$70,21,FALSE),0)+IF(VLOOKUP(B85,$A$2:$AI$70,8,FALSE)=1,VLOOKUP(B85,$A$2:$AI$70,22,FALSE),0)+IF(VLOOKUP(B85,$A$2:$AI$70,9,FALSE)=1,VLOOKUP(B85,$A$2:$AI$70,23,FALSE),0),IF(VLOOKUP(B85,$A$2:$AI$70,10,FALSE)=1,VLOOKUP(B85,$A$2:$AI$70,24,FALSE),0)+IF(VLOOKUP(B85,$A$2:$AI$70,11,FALSE)=1,VLOOKUP(B85,$A$2:$AI$70,25,FALSE),0)+IF(VLOOKUP(B85,$A$2:$AI$70,12,FALSE)=1,VLOOKUP(B85,$A$2:$AI$70,26,FALSE),0)+IF(VLOOKUP(B85,$A$2:$AI$70,13,FALSE)=1,VLOOKUP(B85,$A$2:$AI$70,27,FALSE),0)+IF(VLOOKUP(B85,$A$2:$AI$70,14,FALSE)=1,VLOOKUP(B85,$A$2:$AI$70,28,FALSE),0)+IF(VLOOKUP(B85,$A$2:$AI$70,15,FALSE)=1,VLOOKUP(B85,$A$2:$AI$70,29,FALSE),0)+IF(VLOOKUP(B85,$A$2:$AI$70,16,FALSE)=1,VLOOKUP(B85,$A$2:$AI$70,30,FALSE),0)))</f>
        <v>10</v>
      </c>
      <c r="E85" s="1411">
        <f ca="1">IF(B85="","",COUNTIF(B$76:H$81,B85)*E$92)</f>
        <v>12</v>
      </c>
      <c r="G85" s="769"/>
      <c r="H85" s="769"/>
      <c r="I85" s="1421" t="str">
        <f ca="1">VLOOKUP(LARGE($CA$2:$CA$70,4),$CA$2:$CB$70,2,FALSE)</f>
        <v>Faulkner Thierry</v>
      </c>
      <c r="J85" s="1420">
        <f ca="1">VLOOKUP(I85,$A$1:$AI$70,17,FALSE)+VLOOKUP(I85,$A$1:$AI$70,18,FALSE)+VLOOKUP(I85,$A$1:$AI$70,19,FALSE)+VLOOKUP(I85,$A$1:$AI$70,20,FALSE)+VLOOKUP(I85,$A$1:$AI$70,21,FALSE)+VLOOKUP(I85,$A$1:$AI$70,22,FALSE)+VLOOKUP(I85,$A$1:$AI$70,23,FALSE)</f>
        <v>0</v>
      </c>
      <c r="K85" s="1419">
        <f ca="1">IF(I85="","",IF($BD$1&lt;=7,IF(VLOOKUP(I85,$A$2:$AI$70,3,FALSE)=2,VLOOKUP(I85,$A$2:$AI$70,17,FALSE),0)+IF(VLOOKUP(I85,$A$2:$AI$70,4,FALSE)=2,VLOOKUP(I85,$A$2:$AI$70,18,FALSE),0)+IF(VLOOKUP(I85,$A$2:$AI$70,5,FALSE)=2,VLOOKUP(I85,$A$2:$AI$70,19,FALSE),0)+IF(VLOOKUP(I85,$A$2:$AI$70,6,FALSE)=2,VLOOKUP(I85,$A$2:$AI$70,20,FALSE),0)+IF(VLOOKUP(I85,$A$2:$AI$70,7,FALSE)=2,VLOOKUP(I85,$A$2:$AI$70,21,FALSE),0)+IF(VLOOKUP(I85,$A$2:$AI$70,8,FALSE)=2,VLOOKUP(I85,$A$2:$AI$70,22,FALSE),0)+IF(VLOOKUP(I85,$A$2:$AI$70,9,FALSE)=2,VLOOKUP(I85,$A$2:$AI$70,23,FALSE),0),IF(VLOOKUP(I85,$A$2:$AI$70,10,FALSE)=2,VLOOKUP(I85,$A$2:$AI$70,24,FALSE),0)+IF(VLOOKUP(I85,$A$2:$AI$70,11,FALSE)=2,VLOOKUP(I85,$A$2:$AI$70,25,FALSE),0)+IF(VLOOKUP(I85,$A$2:$AI$70,12,FALSE)=2,VLOOKUP(I85,$A$2:$AI$70,26,FALSE),0)+IF(VLOOKUP(I85,$A$2:$AI$70,13,FALSE)=2,VLOOKUP(I85,$A$2:$AI$70,27,FALSE),0)+IF(VLOOKUP(I85,$A$2:$AI$70,14,FALSE)=2,VLOOKUP(I85,$A$2:$AI$70,28,FALSE),0)+IF(VLOOKUP(I85,$A$2:$AI$70,15,FALSE)=2,VLOOKUP(I85,$A$2:$AI$70,29,FALSE),0)+IF(VLOOKUP(I85,$A$2:$AI$70,16,FALSE)=2,VLOOKUP(I85,$A$2:$AI$70,30,FALSE),0)))</f>
        <v>11</v>
      </c>
      <c r="L85" s="1411">
        <f ca="1">IF(I85="","",COUNTIF(I$76:O$81,I85)*L$92)</f>
        <v>12</v>
      </c>
      <c r="M85" s="769"/>
      <c r="N85" s="769"/>
      <c r="O85" s="769"/>
      <c r="P85" s="1421" t="str">
        <f ca="1">VLOOKUP(LARGE($CC$2:$CC$70,4),$CC$2:$CD$70,2,FALSE)</f>
        <v>Hilton Franck</v>
      </c>
      <c r="Q85" s="1420">
        <f ca="1">VLOOKUP(P85,$A$1:$AI$70,17,FALSE)+VLOOKUP(P85,$A$1:$AI$70,18,FALSE)+VLOOKUP(P85,$A$1:$AI$70,19,FALSE)+VLOOKUP(P85,$A$1:$AI$70,20,FALSE)+VLOOKUP(P85,$A$1:$AI$70,21,FALSE)+VLOOKUP(P85,$A$1:$AI$70,22,FALSE)+VLOOKUP(P85,$A$1:$AI$70,23,FALSE)</f>
        <v>19</v>
      </c>
      <c r="R85" s="1419">
        <f ca="1">IF(P85="","",IF($BD$1&lt;=7,IF(VLOOKUP(P85,$A$2:$AI$70,3,FALSE)=3,VLOOKUP(P85,$A$2:$AI$70,17,FALSE),0)+IF(VLOOKUP(P85,$A$2:$AI$70,4,FALSE)=3,VLOOKUP(P85,$A$2:$AI$70,18,FALSE),0)+IF(VLOOKUP(P85,$A$2:$AI$70,5,FALSE)=3,VLOOKUP(P85,$A$2:$AI$70,19,FALSE),0)+IF(VLOOKUP(P85,$A$2:$AI$70,6,FALSE)=3,VLOOKUP(P85,$A$2:$AI$70,20,FALSE),0)+IF(VLOOKUP(P85,$A$2:$AI$70,7,FALSE)=3,VLOOKUP(P85,$A$2:$AI$70,21,FALSE),0)+IF(VLOOKUP(P85,$A$2:$AI$70,8,FALSE)=3,VLOOKUP(P85,$A$2:$AI$70,22,FALSE),0)+IF(VLOOKUP(P85,$A$2:$AI$70,9,FALSE)=3,VLOOKUP(P85,$A$2:$AI$70,23,FALSE),0),IF(VLOOKUP(P85,$A$2:$AI$70,10,FALSE)=3,VLOOKUP(P85,$A$2:$AI$70,24,FALSE),0)+IF(VLOOKUP(P85,$A$2:$AI$70,11,FALSE)=3,VLOOKUP(P85,$A$2:$AI$70,25,FALSE),0)+IF(VLOOKUP(P85,$A$2:$AI$70,12,FALSE)=3,VLOOKUP(P85,$A$2:$AI$70,26,FALSE),0)+IF(VLOOKUP(P85,$A$2:$AI$70,13,FALSE)=3,VLOOKUP(P85,$A$2:$AI$70,27,FALSE),0)+IF(VLOOKUP(P85,$A$2:$AI$70,14,FALSE)=3,VLOOKUP(P85,$A$2:$AI$70,28,FALSE),0)+IF(VLOOKUP(P85,$A$2:$AI$70,15,FALSE)=3,VLOOKUP(P85,$A$2:$AI$70,29,FALSE),0)+IF(VLOOKUP(P85,$A$2:$AI$70,16,FALSE)=3,VLOOKUP(P85,$A$2:$AI$70,30,FALSE),0)))</f>
        <v>8</v>
      </c>
      <c r="S85" s="1411">
        <f ca="1">IF(P85="","",COUNTIF(P$76:V$81,P85)*S$92)</f>
        <v>12</v>
      </c>
      <c r="T85" s="769"/>
      <c r="U85" s="769"/>
      <c r="V85" s="769"/>
      <c r="W85" s="1421" t="str">
        <f ca="1">VLOOKUP(LARGE($CE$2:$CE$70,4),$CE$2:$CF$70,2,FALSE)</f>
        <v>Colombel Guy</v>
      </c>
      <c r="X85" s="1420">
        <f ca="1">VLOOKUP(W85,$A$1:$AI$70,17,FALSE)+VLOOKUP(W85,$A$1:$AI$70,18,FALSE)+VLOOKUP(W85,$A$1:$AI$70,19,FALSE)+VLOOKUP(W85,$A$1:$AI$70,20,FALSE)+VLOOKUP(W85,$A$1:$AI$70,21,FALSE)+VLOOKUP(W85,$A$1:$AI$70,22,FALSE)+VLOOKUP(W85,$A$1:$AI$70,23,FALSE)</f>
        <v>3</v>
      </c>
      <c r="Y85" s="1419">
        <f ca="1">IF(W85="","",IF($BD$1&lt;=7,IF(VLOOKUP(W85,$A$2:$AI$70,3,FALSE)=4,VLOOKUP(W85,$A$2:$AI$70,17,FALSE),0)+IF(VLOOKUP(W85,$A$2:$AI$70,4,FALSE)=4,VLOOKUP(W85,$A$2:$AI$70,18,FALSE),0)+IF(VLOOKUP(W85,$A$2:$AI$70,5,FALSE)=4,VLOOKUP(W85,$A$2:$AI$70,19,FALSE),0)+IF(VLOOKUP(W85,$A$2:$AI$70,6,FALSE)=4,VLOOKUP(W85,$A$2:$AI$70,20,FALSE),0)+IF(VLOOKUP(W85,$A$2:$AI$70,7,FALSE)=4,VLOOKUP(W85,$A$2:$AI$70,21,FALSE),0)+IF(VLOOKUP(W85,$A$2:$AI$70,8,FALSE)=4,VLOOKUP(W85,$A$2:$AI$70,22,FALSE),0)+IF(VLOOKUP(W85,$A$2:$AI$70,9,FALSE)=4,VLOOKUP(W85,$A$2:$AI$70,23,FALSE),0),IF(VLOOKUP(W85,$A$2:$AI$70,10,FALSE)=4,VLOOKUP(W85,$A$2:$AI$70,24,FALSE),0)+IF(VLOOKUP(W85,$A$2:$AI$70,11,FALSE)=4,VLOOKUP(W85,$A$2:$AI$70,25,FALSE),0)+IF(VLOOKUP(W85,$A$2:$AI$70,12,FALSE)=4,VLOOKUP(W85,$A$2:$AI$70,26,FALSE),0)+IF(VLOOKUP(W85,$A$2:$AI$70,13,FALSE)=4,VLOOKUP(W85,$A$2:$AI$70,27,FALSE),0)+IF(VLOOKUP(W85,$A$2:$AI$70,14,FALSE)=4,VLOOKUP(W85,$A$2:$AI$70,28,FALSE),0)+IF(VLOOKUP(W85,$A$2:$AI$70,15,FALSE)=4,VLOOKUP(W85,$A$2:$AI$70,29,FALSE),0)+IF(VLOOKUP(W85,$A$2:$AI$70,16,FALSE)=4,VLOOKUP(W85,$A$2:$AI$70,30,FALSE),0)))</f>
        <v>7</v>
      </c>
      <c r="Z85" s="1411">
        <f ca="1">IF(W85="","",COUNTIF(W$76:AC$81,W85)*Z$92)</f>
        <v>12</v>
      </c>
      <c r="AA85" s="769"/>
      <c r="AB85" s="769"/>
      <c r="AC85" s="769"/>
      <c r="AD85" s="1421" t="str">
        <f ca="1">VLOOKUP(LARGE($CG$2:$CG$70,4),$CG$2:$CH$70,2,FALSE)</f>
        <v>Morin Léa</v>
      </c>
      <c r="AE85" s="1420">
        <f ca="1">VLOOKUP(AD85,$A$1:$AI$70,17,FALSE)+VLOOKUP(AD85,$A$1:$AI$70,18,FALSE)+VLOOKUP(AD85,$A$1:$AI$70,19,FALSE)+VLOOKUP(AD85,$A$1:$AI$70,20,FALSE)+VLOOKUP(AD85,$A$1:$AI$70,21,FALSE)+VLOOKUP(AD85,$A$1:$AI$70,22,FALSE)+VLOOKUP(AD85,$A$1:$AI$70,23,FALSE)</f>
        <v>3</v>
      </c>
      <c r="AF85" s="1419">
        <f ca="1">IF(AD85="","",IF($BD$1&lt;=7,IF(VLOOKUP(AD85,$A$2:$AI$70,3,FALSE)=5,VLOOKUP(AD85,$A$2:$AI$70,17,FALSE),0)+IF(VLOOKUP(AD85,$A$2:$AI$70,4,FALSE)=5,VLOOKUP(AD85,$A$2:$AI$70,18,FALSE),0)+IF(VLOOKUP(AD85,$A$2:$AI$70,5,FALSE)=5,VLOOKUP(AD85,$A$2:$AI$70,19,FALSE),0)+IF(VLOOKUP(AD85,$A$2:$AI$70,6,FALSE)=5,VLOOKUP(AD85,$A$2:$AI$70,20,FALSE),0)+IF(VLOOKUP(AD85,$A$2:$AI$70,7,FALSE)=5,VLOOKUP(AD85,$A$2:$AI$70,21,FALSE),0)+IF(VLOOKUP(AD85,$A$2:$AI$70,8,FALSE)=5,VLOOKUP(AD85,$A$2:$AI$70,22,FALSE),0)+IF(VLOOKUP(AD85,$A$2:$AI$70,9,FALSE)=5,VLOOKUP(AD85,$A$2:$AI$70,23,FALSE),0),IF(VLOOKUP(AD85,$A$2:$AI$70,10,FALSE)=5,VLOOKUP(AD85,$A$2:$AI$70,24,FALSE),0)+IF(VLOOKUP(AD85,$A$2:$AI$70,11,FALSE)=5,VLOOKUP(AD85,$A$2:$AI$70,25,FALSE),0)+IF(VLOOKUP(AD85,$A$2:$AI$70,12,FALSE)=5,VLOOKUP(AD85,$A$2:$AI$70,26,FALSE),0)+IF(VLOOKUP(AD85,$A$2:$AI$70,13,FALSE)=5,VLOOKUP(AD85,$A$2:$AI$70,27,FALSE),0)+IF(VLOOKUP(AD85,$A$2:$AI$70,14,FALSE)=5,VLOOKUP(AD85,$A$2:$AI$70,28,FALSE),0)+IF(VLOOKUP(AD85,$A$2:$AI$70,15,FALSE)=5,VLOOKUP(AD85,$A$2:$AI$70,29,FALSE),0)+IF(VLOOKUP(AD85,$A$2:$AI$70,16,FALSE)=5,VLOOKUP(AD85,$A$2:$AI$70,30,FALSE),0)))</f>
        <v>11</v>
      </c>
      <c r="AG85" s="1411">
        <f ca="1">IF(AD85="","",COUNTIF(AD$76:AJ$81,AD85)*AG$92)</f>
        <v>15</v>
      </c>
      <c r="AH85" s="1413"/>
      <c r="AI85" s="769"/>
      <c r="AJ85" s="769"/>
      <c r="AK85" s="1421" t="str">
        <f ca="1">VLOOKUP(LARGE($CI$2:$CI$70,4),$CI$2:$CJ$70,2,FALSE)</f>
        <v>Le Cam Corentin</v>
      </c>
      <c r="AL85" s="1420">
        <f ca="1">VLOOKUP(AK85,$A$1:$AI$70,17,FALSE)+VLOOKUP(AK85,$A$1:$AI$70,18,FALSE)+VLOOKUP(AK85,$A$1:$AI$70,19,FALSE)+VLOOKUP(AK85,$A$1:$AI$70,20,FALSE)+VLOOKUP(AK85,$A$1:$AI$70,21,FALSE)+VLOOKUP(AK85,$A$1:$AI$70,22,FALSE)+VLOOKUP(AK85,$A$1:$AI$70,23,FALSE)</f>
        <v>4</v>
      </c>
      <c r="AM85" s="1419">
        <f ca="1">IF(AK85="","",IF($BD$1&lt;=7,IF(VLOOKUP(AK85,$A$2:$AI$70,3,FALSE)=6,VLOOKUP(AK85,$A$2:$AI$70,17,FALSE),0)+IF(VLOOKUP(AK85,$A$2:$AI$70,4,FALSE)=6,VLOOKUP(AK85,$A$2:$AI$70,18,FALSE),0)+IF(VLOOKUP(AK85,$A$2:$AI$70,5,FALSE)=6,VLOOKUP(AK85,$A$2:$AI$70,19,FALSE),0)+IF(VLOOKUP(AK85,$A$2:$AI$70,6,FALSE)=6,VLOOKUP(AK85,$A$2:$AI$70,20,FALSE),0)+IF(VLOOKUP(AK85,$A$2:$AI$70,7,FALSE)=6,VLOOKUP(AK85,$A$2:$AI$70,21,FALSE),0)+IF(VLOOKUP(AK85,$A$2:$AI$70,8,FALSE)=6,VLOOKUP(AK85,$A$2:$AI$70,22,FALSE),0)+IF(VLOOKUP(AK85,$A$2:$AI$70,9,FALSE)=6,VLOOKUP(AK85,$A$2:$AI$70,23,FALSE),0),IF(VLOOKUP(AK85,$A$2:$AI$70,10,FALSE)=6,VLOOKUP(AK85,$A$2:$AI$70,24,FALSE),0)+IF(VLOOKUP(AK85,$A$2:$AI$70,11,FALSE)=6,VLOOKUP(AK85,$A$2:$AI$70,25,FALSE),0)+IF(VLOOKUP(AK85,$A$2:$AI$70,12,FALSE)=6,VLOOKUP(AK85,$A$2:$AI$70,26,FALSE),0)+IF(VLOOKUP(AK85,$A$2:$AI$70,13,FALSE)=6,VLOOKUP(AK85,$A$2:$AI$70,27,FALSE),0)+IF(VLOOKUP(AK85,$A$2:$AI$70,14,FALSE)=6,VLOOKUP(AK85,$A$2:$AI$70,28,FALSE),0)+IF(VLOOKUP(AK85,$A$2:$AI$70,15,FALSE)=6,VLOOKUP(AK85,$A$2:$AI$70,29,FALSE),0)+IF(VLOOKUP(AK85,$A$2:$AI$70,16,FALSE)=6,VLOOKUP(AK85,$A$2:$AI$70,30,FALSE),0)))</f>
        <v>3</v>
      </c>
      <c r="AN85" s="1411">
        <f ca="1">IF(AK85="","",COUNTIF(AK$76:AQ$81,AK85)*AN$92)</f>
        <v>12</v>
      </c>
      <c r="AO85" s="769"/>
      <c r="AP85" s="769"/>
      <c r="AQ85" s="769"/>
      <c r="AR85" s="1421" t="str">
        <f ca="1">VLOOKUP(LARGE($CK$2:$CK$70,4),$CK$2:$CL$70,2,FALSE)</f>
        <v>Craineguy David</v>
      </c>
      <c r="AS85" s="1420">
        <f ca="1">VLOOKUP(AR85,$A$1:$AI$70,17,FALSE)+VLOOKUP(AR85,$A$1:$AI$70,18,FALSE)+VLOOKUP(AR85,$A$1:$AI$70,19,FALSE)+VLOOKUP(AR85,$A$1:$AI$70,20,FALSE)+VLOOKUP(AR85,$A$1:$AI$70,21,FALSE)+VLOOKUP(AR85,$A$1:$AI$70,22,FALSE)+VLOOKUP(AR85,$A$1:$AI$70,23,FALSE)</f>
        <v>5</v>
      </c>
      <c r="AT85" s="1419">
        <f ca="1">IF(AR85="","",IF($BD$1&lt;=7,IF(VLOOKUP(AR85,$A$2:$AI$70,3,FALSE)=7,VLOOKUP(AR85,$A$2:$AI$70,17,FALSE),0)+IF(VLOOKUP(AR85,$A$2:$AI$70,4,FALSE)=7,VLOOKUP(AR85,$A$2:$AI$70,18,FALSE),0)+IF(VLOOKUP(AR85,$A$2:$AI$70,5,FALSE)=7,VLOOKUP(AR85,$A$2:$AI$70,19,FALSE),0)+IF(VLOOKUP(AR85,$A$2:$AI$70,6,FALSE)=7,VLOOKUP(AR85,$A$2:$AI$70,20,FALSE),0)+IF(VLOOKUP(AR85,$A$2:$AI$70,7,FALSE)=7,VLOOKUP(AR85,$A$2:$AI$70,21,FALSE),0)+IF(VLOOKUP(AR85,$A$2:$AI$70,8,FALSE)=7,VLOOKUP(AR85,$A$2:$AI$70,22,FALSE),0)+IF(VLOOKUP(AR85,$A$2:$AI$70,9,FALSE)=7,VLOOKUP(AR85,$A$2:$AI$70,23,FALSE),0),IF(VLOOKUP(AR85,$A$2:$AI$70,10,FALSE)=7,VLOOKUP(AR85,$A$2:$AI$70,24,FALSE),0)+IF(VLOOKUP(AR85,$A$2:$AI$70,11,FALSE)=7,VLOOKUP(AR85,$A$2:$AI$70,25,FALSE),0)+IF(VLOOKUP(AR85,$A$2:$AI$70,12,FALSE)=7,VLOOKUP(AR85,$A$2:$AI$70,26,FALSE),0)+IF(VLOOKUP(AR85,$A$2:$AI$70,13,FALSE)=7,VLOOKUP(AR85,$A$2:$AI$70,27,FALSE),0)+IF(VLOOKUP(AR85,$A$2:$AI$70,14,FALSE)=7,VLOOKUP(AR85,$A$2:$AI$70,28,FALSE),0)+IF(VLOOKUP(AR85,$A$2:$AI$70,15,FALSE)=7,VLOOKUP(AR85,$A$2:$AI$70,29,FALSE),0)+IF(VLOOKUP(AR85,$A$2:$AI$70,16,FALSE)=7,VLOOKUP(AR85,$A$2:$AI$70,30,FALSE),0)))</f>
        <v>1</v>
      </c>
      <c r="AU85" s="1411">
        <f ca="1">IF(AR85="","",COUNTIF(AR$76:AX$81,AR85)*AU$92)</f>
        <v>9</v>
      </c>
      <c r="AV85" s="769"/>
      <c r="AW85" s="769"/>
      <c r="AX85" s="1414"/>
      <c r="AY85" s="1588" t="str">
        <f ca="1">VLOOKUP(LARGE($CM$2:$CM$70,4),$CM$2:$CN$70,2,FALSE)</f>
        <v>Guehennec Benoit</v>
      </c>
      <c r="AZ85" s="1584">
        <f ca="1">VLOOKUP(AY85,$A$1:$AI$70,17,FALSE)+VLOOKUP(AY85,$A$1:$AI$70,18,FALSE)+VLOOKUP(AY85,$A$1:$AI$70,19,FALSE)+VLOOKUP(AY85,$A$1:$AI$70,20,FALSE)+VLOOKUP(AY85,$A$1:$AI$70,21,FALSE)+VLOOKUP(AY85,$A$1:$AI$70,22,FALSE)+VLOOKUP(AY85,$A$1:$AI$70,23,FALSE)</f>
        <v>15</v>
      </c>
      <c r="BA85" s="1419">
        <f ca="1">IF(AY85="","",IF($BD$1&lt;=7,IF(VLOOKUP(AY85,$A$2:$AI$70,3,FALSE)=8,VLOOKUP(AY85,$A$2:$AI$70,17,FALSE),0)+IF(VLOOKUP(AY85,$A$2:$AI$70,4,FALSE)=8,VLOOKUP(AY85,$A$2:$AI$70,18,FALSE),0)+IF(VLOOKUP(AY85,$A$2:$AI$70,5,FALSE)=8,VLOOKUP(AY85,$A$2:$AI$70,19,FALSE),0)+IF(VLOOKUP(AY85,$A$2:$AI$70,6,FALSE)=8,VLOOKUP(AY85,$A$2:$AI$70,20,FALSE),0)+IF(VLOOKUP(AY85,$A$2:$AI$70,7,FALSE)=8,VLOOKUP(AY85,$A$2:$AI$70,21,FALSE),0)+IF(VLOOKUP(AY85,$A$2:$AI$70,8,FALSE)=8,VLOOKUP(AY85,$A$2:$AI$70,22,FALSE),0)+IF(VLOOKUP(AY85,$A$2:$AI$70,9,FALSE)=8,VLOOKUP(AY85,$A$2:$AI$70,23,FALSE),0),IF(VLOOKUP(AY85,$A$2:$AI$70,10,FALSE)=8,VLOOKUP(AY85,$A$2:$AI$70,24,FALSE),0)+IF(VLOOKUP(AY85,$A$2:$AI$70,11,FALSE)=8,VLOOKUP(AY85,$A$2:$AI$70,25,FALSE),0)+IF(VLOOKUP(AY85,$A$2:$AI$70,12,FALSE)=8,VLOOKUP(AY85,$A$2:$AI$70,26,FALSE),0)+IF(VLOOKUP(AY85,$A$2:$AI$70,13,FALSE)=8,VLOOKUP(AY85,$A$2:$AI$70,27,FALSE),0)+IF(VLOOKUP(AY85,$A$2:$AI$70,14,FALSE)=8,VLOOKUP(AY85,$A$2:$AI$70,28,FALSE),0)+IF(VLOOKUP(AY85,$A$2:$AI$70,15,FALSE)=8,VLOOKUP(AY85,$A$2:$AI$70,29,FALSE),0)+IF(VLOOKUP(AY85,$A$2:$AI$70,16,FALSE)=8,VLOOKUP(AY85,$A$2:$AI$70,30,FALSE),0)))</f>
        <v>9</v>
      </c>
      <c r="BB85" s="1411">
        <f ca="1">IF(AY85="","",COUNTIF(AY$76:BE$81,AY85)*BB$92)</f>
        <v>12</v>
      </c>
      <c r="BC85" s="769"/>
      <c r="BD85" s="769"/>
      <c r="BE85" s="769"/>
      <c r="BF85" s="769"/>
      <c r="BG85" s="769"/>
      <c r="BH85" s="769"/>
      <c r="BI85" s="769"/>
      <c r="BJ85" s="769"/>
      <c r="BK85" s="769"/>
      <c r="BL85" s="769"/>
      <c r="BM85" s="769"/>
      <c r="BN85" s="769"/>
      <c r="BO85" s="769"/>
      <c r="BP85" s="769"/>
      <c r="BQ85" s="769"/>
      <c r="BR85" s="769"/>
      <c r="BS85" s="769"/>
      <c r="BT85" s="769"/>
      <c r="BU85" s="769"/>
      <c r="BV85" s="1415"/>
      <c r="BW85" s="1415"/>
      <c r="BX85" s="1415"/>
      <c r="BY85" s="1415"/>
      <c r="BZ85" s="1415"/>
      <c r="CA85" s="1415"/>
      <c r="CB85" s="1415"/>
      <c r="CC85" s="1415"/>
      <c r="CD85" s="1415"/>
      <c r="CE85" s="1415"/>
      <c r="CF85" s="1415"/>
      <c r="CG85" s="1415"/>
      <c r="CH85" s="1415"/>
      <c r="CI85" s="1415"/>
      <c r="CJ85" s="1415"/>
      <c r="CK85" s="1415"/>
      <c r="CL85" s="1415"/>
      <c r="CM85" s="1415"/>
      <c r="CN85" s="1415"/>
      <c r="CO85" s="1406"/>
      <c r="CP85" s="81"/>
      <c r="CQ85" s="81"/>
      <c r="DC85" s="1403"/>
      <c r="DD85" s="1405"/>
      <c r="DF85" s="1404"/>
      <c r="DH85" s="86"/>
      <c r="DI85" s="86"/>
      <c r="DK85"/>
      <c r="DL85" s="769"/>
      <c r="DM85" s="554"/>
      <c r="DN85" s="554"/>
      <c r="DO85" s="1401"/>
      <c r="DP85" s="1400"/>
      <c r="DQ85"/>
      <c r="DR85"/>
    </row>
    <row r="86" spans="1:122" ht="15.75">
      <c r="A86" s="769" t="s">
        <v>708</v>
      </c>
      <c r="B86" s="1421" t="str">
        <f ca="1">VLOOKUP(LARGE($BY$2:$BY$70,5),$BY$2:$BZ$70,2,FALSE)</f>
        <v>Beyl Yann</v>
      </c>
      <c r="C86" s="1420">
        <f ca="1">VLOOKUP(B86,$A$1:$AI$70,17,FALSE)+VLOOKUP(B86,$A$1:$AI$70,18,FALSE)+VLOOKUP(B86,$A$1:$AI$70,19,FALSE)+VLOOKUP(B86,$A$1:$AI$70,20,FALSE)+VLOOKUP(B86,$A$1:$AI$70,21,FALSE)+VLOOKUP(B86,$A$1:$AI$70,22,FALSE)+VLOOKUP(B86,$A$1:$AI$70,23,FALSE)</f>
        <v>14</v>
      </c>
      <c r="D86" s="1419">
        <f ca="1">IF(B86="","",IF($BD$1&lt;=7,IF(VLOOKUP(B86,$A$2:$AI$70,3,FALSE)=1,VLOOKUP(B86,$A$2:$AI$70,17,FALSE),0)+IF(VLOOKUP(B86,$A$2:$AI$70,4,FALSE)=1,VLOOKUP(B86,$A$2:$AI$70,18,FALSE),0)+IF(VLOOKUP(B86,$A$2:$AI$70,5,FALSE)=1,VLOOKUP(B86,$A$2:$AI$70,19,FALSE),0)+IF(VLOOKUP(B86,$A$2:$AI$70,6,FALSE)=1,VLOOKUP(B86,$A$2:$AI$70,20,FALSE),0)+IF(VLOOKUP(B86,$A$2:$AI$70,7,FALSE)=1,VLOOKUP(B86,$A$2:$AI$70,21,FALSE),0)+IF(VLOOKUP(B86,$A$2:$AI$70,8,FALSE)=1,VLOOKUP(B86,$A$2:$AI$70,22,FALSE),0)+IF(VLOOKUP(B86,$A$2:$AI$70,9,FALSE)=1,VLOOKUP(B86,$A$2:$AI$70,23,FALSE),0),IF(VLOOKUP(B86,$A$2:$AI$70,10,FALSE)=1,VLOOKUP(B86,$A$2:$AI$70,24,FALSE),0)+IF(VLOOKUP(B86,$A$2:$AI$70,11,FALSE)=1,VLOOKUP(B86,$A$2:$AI$70,25,FALSE),0)+IF(VLOOKUP(B86,$A$2:$AI$70,12,FALSE)=1,VLOOKUP(B86,$A$2:$AI$70,26,FALSE),0)+IF(VLOOKUP(B86,$A$2:$AI$70,13,FALSE)=1,VLOOKUP(B86,$A$2:$AI$70,27,FALSE),0)+IF(VLOOKUP(B86,$A$2:$AI$70,14,FALSE)=1,VLOOKUP(B86,$A$2:$AI$70,28,FALSE),0)+IF(VLOOKUP(B86,$A$2:$AI$70,15,FALSE)=1,VLOOKUP(B86,$A$2:$AI$70,29,FALSE),0)+IF(VLOOKUP(B86,$A$2:$AI$70,16,FALSE)=1,VLOOKUP(B86,$A$2:$AI$70,30,FALSE),0)))</f>
        <v>8</v>
      </c>
      <c r="E86" s="1411">
        <f ca="1">IF(B86="","",COUNTIF(B$76:H$81,B86)*E$92)</f>
        <v>12</v>
      </c>
      <c r="G86" s="769"/>
      <c r="H86" s="769"/>
      <c r="I86" s="1421" t="str">
        <f ca="1">VLOOKUP(LARGE($CA$2:$CA$70,5),$CA$2:$CB$70,2,FALSE)</f>
        <v>Nicolas Jérémy</v>
      </c>
      <c r="J86" s="1420">
        <f ca="1">VLOOKUP(I86,$A$1:$AI$70,17,FALSE)+VLOOKUP(I86,$A$1:$AI$70,18,FALSE)+VLOOKUP(I86,$A$1:$AI$70,19,FALSE)+VLOOKUP(I86,$A$1:$AI$70,20,FALSE)+VLOOKUP(I86,$A$1:$AI$70,21,FALSE)+VLOOKUP(I86,$A$1:$AI$70,22,FALSE)+VLOOKUP(I86,$A$1:$AI$70,23,FALSE)</f>
        <v>21</v>
      </c>
      <c r="K86" s="1419">
        <f ca="1">IF(I86="","",IF($BD$1&lt;=7,IF(VLOOKUP(I86,$A$2:$AI$70,3,FALSE)=2,VLOOKUP(I86,$A$2:$AI$70,17,FALSE),0)+IF(VLOOKUP(I86,$A$2:$AI$70,4,FALSE)=2,VLOOKUP(I86,$A$2:$AI$70,18,FALSE),0)+IF(VLOOKUP(I86,$A$2:$AI$70,5,FALSE)=2,VLOOKUP(I86,$A$2:$AI$70,19,FALSE),0)+IF(VLOOKUP(I86,$A$2:$AI$70,6,FALSE)=2,VLOOKUP(I86,$A$2:$AI$70,20,FALSE),0)+IF(VLOOKUP(I86,$A$2:$AI$70,7,FALSE)=2,VLOOKUP(I86,$A$2:$AI$70,21,FALSE),0)+IF(VLOOKUP(I86,$A$2:$AI$70,8,FALSE)=2,VLOOKUP(I86,$A$2:$AI$70,22,FALSE),0)+IF(VLOOKUP(I86,$A$2:$AI$70,9,FALSE)=2,VLOOKUP(I86,$A$2:$AI$70,23,FALSE),0),IF(VLOOKUP(I86,$A$2:$AI$70,10,FALSE)=2,VLOOKUP(I86,$A$2:$AI$70,24,FALSE),0)+IF(VLOOKUP(I86,$A$2:$AI$70,11,FALSE)=2,VLOOKUP(I86,$A$2:$AI$70,25,FALSE),0)+IF(VLOOKUP(I86,$A$2:$AI$70,12,FALSE)=2,VLOOKUP(I86,$A$2:$AI$70,26,FALSE),0)+IF(VLOOKUP(I86,$A$2:$AI$70,13,FALSE)=2,VLOOKUP(I86,$A$2:$AI$70,27,FALSE),0)+IF(VLOOKUP(I86,$A$2:$AI$70,14,FALSE)=2,VLOOKUP(I86,$A$2:$AI$70,28,FALSE),0)+IF(VLOOKUP(I86,$A$2:$AI$70,15,FALSE)=2,VLOOKUP(I86,$A$2:$AI$70,29,FALSE),0)+IF(VLOOKUP(I86,$A$2:$AI$70,16,FALSE)=2,VLOOKUP(I86,$A$2:$AI$70,30,FALSE),0)))</f>
        <v>5</v>
      </c>
      <c r="L86" s="1411">
        <f ca="1">IF(I86="","",COUNTIF(I$76:O$81,I86)*L$92)</f>
        <v>6</v>
      </c>
      <c r="M86" s="769"/>
      <c r="N86" s="769"/>
      <c r="O86" s="769"/>
      <c r="P86" s="1421" t="str">
        <f ca="1">VLOOKUP(LARGE($CC$2:$CC$70,5),$CC$2:$CD$70,2,FALSE)</f>
        <v>Morin Léa</v>
      </c>
      <c r="Q86" s="1420">
        <f ca="1">VLOOKUP(P86,$A$1:$AI$70,17,FALSE)+VLOOKUP(P86,$A$1:$AI$70,18,FALSE)+VLOOKUP(P86,$A$1:$AI$70,19,FALSE)+VLOOKUP(P86,$A$1:$AI$70,20,FALSE)+VLOOKUP(P86,$A$1:$AI$70,21,FALSE)+VLOOKUP(P86,$A$1:$AI$70,22,FALSE)+VLOOKUP(P86,$A$1:$AI$70,23,FALSE)</f>
        <v>3</v>
      </c>
      <c r="R86" s="1419">
        <f ca="1">IF(P86="","",IF($BD$1&lt;=7,IF(VLOOKUP(P86,$A$2:$AI$70,3,FALSE)=3,VLOOKUP(P86,$A$2:$AI$70,17,FALSE),0)+IF(VLOOKUP(P86,$A$2:$AI$70,4,FALSE)=3,VLOOKUP(P86,$A$2:$AI$70,18,FALSE),0)+IF(VLOOKUP(P86,$A$2:$AI$70,5,FALSE)=3,VLOOKUP(P86,$A$2:$AI$70,19,FALSE),0)+IF(VLOOKUP(P86,$A$2:$AI$70,6,FALSE)=3,VLOOKUP(P86,$A$2:$AI$70,20,FALSE),0)+IF(VLOOKUP(P86,$A$2:$AI$70,7,FALSE)=3,VLOOKUP(P86,$A$2:$AI$70,21,FALSE),0)+IF(VLOOKUP(P86,$A$2:$AI$70,8,FALSE)=3,VLOOKUP(P86,$A$2:$AI$70,22,FALSE),0)+IF(VLOOKUP(P86,$A$2:$AI$70,9,FALSE)=3,VLOOKUP(P86,$A$2:$AI$70,23,FALSE),0),IF(VLOOKUP(P86,$A$2:$AI$70,10,FALSE)=3,VLOOKUP(P86,$A$2:$AI$70,24,FALSE),0)+IF(VLOOKUP(P86,$A$2:$AI$70,11,FALSE)=3,VLOOKUP(P86,$A$2:$AI$70,25,FALSE),0)+IF(VLOOKUP(P86,$A$2:$AI$70,12,FALSE)=3,VLOOKUP(P86,$A$2:$AI$70,26,FALSE),0)+IF(VLOOKUP(P86,$A$2:$AI$70,13,FALSE)=3,VLOOKUP(P86,$A$2:$AI$70,27,FALSE),0)+IF(VLOOKUP(P86,$A$2:$AI$70,14,FALSE)=3,VLOOKUP(P86,$A$2:$AI$70,28,FALSE),0)+IF(VLOOKUP(P86,$A$2:$AI$70,15,FALSE)=3,VLOOKUP(P86,$A$2:$AI$70,29,FALSE),0)+IF(VLOOKUP(P86,$A$2:$AI$70,16,FALSE)=3,VLOOKUP(P86,$A$2:$AI$70,30,FALSE),0)))</f>
        <v>1</v>
      </c>
      <c r="S86" s="1411">
        <f ca="1">IF(P86="","",COUNTIF(P$76:V$81,P86)*S$92)</f>
        <v>3</v>
      </c>
      <c r="T86" s="769"/>
      <c r="U86" s="769"/>
      <c r="V86" s="769"/>
      <c r="W86" s="1421" t="str">
        <f ca="1">VLOOKUP(LARGE($CE$2:$CE$70,5),$CE$2:$CF$70,2,FALSE)</f>
        <v>Couture Christophe</v>
      </c>
      <c r="X86" s="1420">
        <f ca="1">VLOOKUP(W86,$A$1:$AI$70,17,FALSE)+VLOOKUP(W86,$A$1:$AI$70,18,FALSE)+VLOOKUP(W86,$A$1:$AI$70,19,FALSE)+VLOOKUP(W86,$A$1:$AI$70,20,FALSE)+VLOOKUP(W86,$A$1:$AI$70,21,FALSE)+VLOOKUP(W86,$A$1:$AI$70,22,FALSE)+VLOOKUP(W86,$A$1:$AI$70,23,FALSE)</f>
        <v>6</v>
      </c>
      <c r="Y86" s="1419">
        <f ca="1">IF(W86="","",IF($BD$1&lt;=7,IF(VLOOKUP(W86,$A$2:$AI$70,3,FALSE)=4,VLOOKUP(W86,$A$2:$AI$70,17,FALSE),0)+IF(VLOOKUP(W86,$A$2:$AI$70,4,FALSE)=4,VLOOKUP(W86,$A$2:$AI$70,18,FALSE),0)+IF(VLOOKUP(W86,$A$2:$AI$70,5,FALSE)=4,VLOOKUP(W86,$A$2:$AI$70,19,FALSE),0)+IF(VLOOKUP(W86,$A$2:$AI$70,6,FALSE)=4,VLOOKUP(W86,$A$2:$AI$70,20,FALSE),0)+IF(VLOOKUP(W86,$A$2:$AI$70,7,FALSE)=4,VLOOKUP(W86,$A$2:$AI$70,21,FALSE),0)+IF(VLOOKUP(W86,$A$2:$AI$70,8,FALSE)=4,VLOOKUP(W86,$A$2:$AI$70,22,FALSE),0)+IF(VLOOKUP(W86,$A$2:$AI$70,9,FALSE)=4,VLOOKUP(W86,$A$2:$AI$70,23,FALSE),0),IF(VLOOKUP(W86,$A$2:$AI$70,10,FALSE)=4,VLOOKUP(W86,$A$2:$AI$70,24,FALSE),0)+IF(VLOOKUP(W86,$A$2:$AI$70,11,FALSE)=4,VLOOKUP(W86,$A$2:$AI$70,25,FALSE),0)+IF(VLOOKUP(W86,$A$2:$AI$70,12,FALSE)=4,VLOOKUP(W86,$A$2:$AI$70,26,FALSE),0)+IF(VLOOKUP(W86,$A$2:$AI$70,13,FALSE)=4,VLOOKUP(W86,$A$2:$AI$70,27,FALSE),0)+IF(VLOOKUP(W86,$A$2:$AI$70,14,FALSE)=4,VLOOKUP(W86,$A$2:$AI$70,28,FALSE),0)+IF(VLOOKUP(W86,$A$2:$AI$70,15,FALSE)=4,VLOOKUP(W86,$A$2:$AI$70,29,FALSE),0)+IF(VLOOKUP(W86,$A$2:$AI$70,16,FALSE)=4,VLOOKUP(W86,$A$2:$AI$70,30,FALSE),0)))</f>
        <v>5</v>
      </c>
      <c r="Z86" s="1411">
        <f ca="1">IF(W86="","",COUNTIF(W$76:AC$81,W86)*Z$92)</f>
        <v>9</v>
      </c>
      <c r="AA86" s="769"/>
      <c r="AB86" s="769"/>
      <c r="AC86" s="769"/>
      <c r="AD86" s="1421" t="str">
        <f ca="1">VLOOKUP(LARGE($CG$2:$CG$70,5),$CG$2:$CH$70,2,FALSE)</f>
        <v>Vilain Benjamin</v>
      </c>
      <c r="AE86" s="1420">
        <f ca="1">VLOOKUP(AD86,$A$1:$AI$70,17,FALSE)+VLOOKUP(AD86,$A$1:$AI$70,18,FALSE)+VLOOKUP(AD86,$A$1:$AI$70,19,FALSE)+VLOOKUP(AD86,$A$1:$AI$70,20,FALSE)+VLOOKUP(AD86,$A$1:$AI$70,21,FALSE)+VLOOKUP(AD86,$A$1:$AI$70,22,FALSE)+VLOOKUP(AD86,$A$1:$AI$70,23,FALSE)</f>
        <v>8</v>
      </c>
      <c r="AF86" s="1419">
        <f ca="1">IF(AD86="","",IF($BD$1&lt;=7,IF(VLOOKUP(AD86,$A$2:$AI$70,3,FALSE)=5,VLOOKUP(AD86,$A$2:$AI$70,17,FALSE),0)+IF(VLOOKUP(AD86,$A$2:$AI$70,4,FALSE)=5,VLOOKUP(AD86,$A$2:$AI$70,18,FALSE),0)+IF(VLOOKUP(AD86,$A$2:$AI$70,5,FALSE)=5,VLOOKUP(AD86,$A$2:$AI$70,19,FALSE),0)+IF(VLOOKUP(AD86,$A$2:$AI$70,6,FALSE)=5,VLOOKUP(AD86,$A$2:$AI$70,20,FALSE),0)+IF(VLOOKUP(AD86,$A$2:$AI$70,7,FALSE)=5,VLOOKUP(AD86,$A$2:$AI$70,21,FALSE),0)+IF(VLOOKUP(AD86,$A$2:$AI$70,8,FALSE)=5,VLOOKUP(AD86,$A$2:$AI$70,22,FALSE),0)+IF(VLOOKUP(AD86,$A$2:$AI$70,9,FALSE)=5,VLOOKUP(AD86,$A$2:$AI$70,23,FALSE),0),IF(VLOOKUP(AD86,$A$2:$AI$70,10,FALSE)=5,VLOOKUP(AD86,$A$2:$AI$70,24,FALSE),0)+IF(VLOOKUP(AD86,$A$2:$AI$70,11,FALSE)=5,VLOOKUP(AD86,$A$2:$AI$70,25,FALSE),0)+IF(VLOOKUP(AD86,$A$2:$AI$70,12,FALSE)=5,VLOOKUP(AD86,$A$2:$AI$70,26,FALSE),0)+IF(VLOOKUP(AD86,$A$2:$AI$70,13,FALSE)=5,VLOOKUP(AD86,$A$2:$AI$70,27,FALSE),0)+IF(VLOOKUP(AD86,$A$2:$AI$70,14,FALSE)=5,VLOOKUP(AD86,$A$2:$AI$70,28,FALSE),0)+IF(VLOOKUP(AD86,$A$2:$AI$70,15,FALSE)=5,VLOOKUP(AD86,$A$2:$AI$70,29,FALSE),0)+IF(VLOOKUP(AD86,$A$2:$AI$70,16,FALSE)=5,VLOOKUP(AD86,$A$2:$AI$70,30,FALSE),0)))</f>
        <v>11</v>
      </c>
      <c r="AG86" s="1411">
        <f ca="1">IF(AD86="","",COUNTIF(AD$76:AJ$81,AD86)*AG$92)</f>
        <v>15</v>
      </c>
      <c r="AH86" s="1413"/>
      <c r="AI86" s="769"/>
      <c r="AJ86" s="769"/>
      <c r="AK86" s="1421" t="str">
        <f ca="1">VLOOKUP(LARGE($CI$2:$CI$70,5),$CI$2:$CJ$70,2,FALSE)</f>
        <v>Lorho Mathieu</v>
      </c>
      <c r="AL86" s="1420">
        <f ca="1">VLOOKUP(AK86,$A$1:$AI$70,17,FALSE)+VLOOKUP(AK86,$A$1:$AI$70,18,FALSE)+VLOOKUP(AK86,$A$1:$AI$70,19,FALSE)+VLOOKUP(AK86,$A$1:$AI$70,20,FALSE)+VLOOKUP(AK86,$A$1:$AI$70,21,FALSE)+VLOOKUP(AK86,$A$1:$AI$70,22,FALSE)+VLOOKUP(AK86,$A$1:$AI$70,23,FALSE)</f>
        <v>4</v>
      </c>
      <c r="AM86" s="1419">
        <f ca="1">IF(AK86="","",IF($BD$1&lt;=7,IF(VLOOKUP(AK86,$A$2:$AI$70,3,FALSE)=6,VLOOKUP(AK86,$A$2:$AI$70,17,FALSE),0)+IF(VLOOKUP(AK86,$A$2:$AI$70,4,FALSE)=6,VLOOKUP(AK86,$A$2:$AI$70,18,FALSE),0)+IF(VLOOKUP(AK86,$A$2:$AI$70,5,FALSE)=6,VLOOKUP(AK86,$A$2:$AI$70,19,FALSE),0)+IF(VLOOKUP(AK86,$A$2:$AI$70,6,FALSE)=6,VLOOKUP(AK86,$A$2:$AI$70,20,FALSE),0)+IF(VLOOKUP(AK86,$A$2:$AI$70,7,FALSE)=6,VLOOKUP(AK86,$A$2:$AI$70,21,FALSE),0)+IF(VLOOKUP(AK86,$A$2:$AI$70,8,FALSE)=6,VLOOKUP(AK86,$A$2:$AI$70,22,FALSE),0)+IF(VLOOKUP(AK86,$A$2:$AI$70,9,FALSE)=6,VLOOKUP(AK86,$A$2:$AI$70,23,FALSE),0),IF(VLOOKUP(AK86,$A$2:$AI$70,10,FALSE)=6,VLOOKUP(AK86,$A$2:$AI$70,24,FALSE),0)+IF(VLOOKUP(AK86,$A$2:$AI$70,11,FALSE)=6,VLOOKUP(AK86,$A$2:$AI$70,25,FALSE),0)+IF(VLOOKUP(AK86,$A$2:$AI$70,12,FALSE)=6,VLOOKUP(AK86,$A$2:$AI$70,26,FALSE),0)+IF(VLOOKUP(AK86,$A$2:$AI$70,13,FALSE)=6,VLOOKUP(AK86,$A$2:$AI$70,27,FALSE),0)+IF(VLOOKUP(AK86,$A$2:$AI$70,14,FALSE)=6,VLOOKUP(AK86,$A$2:$AI$70,28,FALSE),0)+IF(VLOOKUP(AK86,$A$2:$AI$70,15,FALSE)=6,VLOOKUP(AK86,$A$2:$AI$70,29,FALSE),0)+IF(VLOOKUP(AK86,$A$2:$AI$70,16,FALSE)=6,VLOOKUP(AK86,$A$2:$AI$70,30,FALSE),0)))</f>
        <v>8</v>
      </c>
      <c r="AN86" s="1411">
        <f ca="1">IF(AK86="","",COUNTIF(AK$76:AQ$81,AK86)*AN$92)</f>
        <v>9</v>
      </c>
      <c r="AO86" s="769"/>
      <c r="AP86" s="769"/>
      <c r="AQ86" s="769"/>
      <c r="AR86" s="1421" t="str">
        <f ca="1">VLOOKUP(LARGE($CK$2:$CK$70,5),$CK$2:$CL$70,2,FALSE)</f>
        <v>Jugé Léana</v>
      </c>
      <c r="AS86" s="1420">
        <f ca="1">VLOOKUP(AR86,$A$1:$AI$70,17,FALSE)+VLOOKUP(AR86,$A$1:$AI$70,18,FALSE)+VLOOKUP(AR86,$A$1:$AI$70,19,FALSE)+VLOOKUP(AR86,$A$1:$AI$70,20,FALSE)+VLOOKUP(AR86,$A$1:$AI$70,21,FALSE)+VLOOKUP(AR86,$A$1:$AI$70,22,FALSE)+VLOOKUP(AR86,$A$1:$AI$70,23,FALSE)</f>
        <v>1</v>
      </c>
      <c r="AT86" s="1419">
        <f ca="1">IF(AR86="","",IF($BD$1&lt;=7,IF(VLOOKUP(AR86,$A$2:$AI$70,3,FALSE)=7,VLOOKUP(AR86,$A$2:$AI$70,17,FALSE),0)+IF(VLOOKUP(AR86,$A$2:$AI$70,4,FALSE)=7,VLOOKUP(AR86,$A$2:$AI$70,18,FALSE),0)+IF(VLOOKUP(AR86,$A$2:$AI$70,5,FALSE)=7,VLOOKUP(AR86,$A$2:$AI$70,19,FALSE),0)+IF(VLOOKUP(AR86,$A$2:$AI$70,6,FALSE)=7,VLOOKUP(AR86,$A$2:$AI$70,20,FALSE),0)+IF(VLOOKUP(AR86,$A$2:$AI$70,7,FALSE)=7,VLOOKUP(AR86,$A$2:$AI$70,21,FALSE),0)+IF(VLOOKUP(AR86,$A$2:$AI$70,8,FALSE)=7,VLOOKUP(AR86,$A$2:$AI$70,22,FALSE),0)+IF(VLOOKUP(AR86,$A$2:$AI$70,9,FALSE)=7,VLOOKUP(AR86,$A$2:$AI$70,23,FALSE),0),IF(VLOOKUP(AR86,$A$2:$AI$70,10,FALSE)=7,VLOOKUP(AR86,$A$2:$AI$70,24,FALSE),0)+IF(VLOOKUP(AR86,$A$2:$AI$70,11,FALSE)=7,VLOOKUP(AR86,$A$2:$AI$70,25,FALSE),0)+IF(VLOOKUP(AR86,$A$2:$AI$70,12,FALSE)=7,VLOOKUP(AR86,$A$2:$AI$70,26,FALSE),0)+IF(VLOOKUP(AR86,$A$2:$AI$70,13,FALSE)=7,VLOOKUP(AR86,$A$2:$AI$70,27,FALSE),0)+IF(VLOOKUP(AR86,$A$2:$AI$70,14,FALSE)=7,VLOOKUP(AR86,$A$2:$AI$70,28,FALSE),0)+IF(VLOOKUP(AR86,$A$2:$AI$70,15,FALSE)=7,VLOOKUP(AR86,$A$2:$AI$70,29,FALSE),0)+IF(VLOOKUP(AR86,$A$2:$AI$70,16,FALSE)=7,VLOOKUP(AR86,$A$2:$AI$70,30,FALSE),0)))</f>
        <v>0</v>
      </c>
      <c r="AU86" s="1411">
        <f ca="1">IF(AR86="","",COUNTIF(AR$76:AX$81,AR86)*AU$92)</f>
        <v>6</v>
      </c>
      <c r="AV86" s="769"/>
      <c r="AW86" s="769"/>
      <c r="AX86" s="1414"/>
      <c r="AY86" s="1588" t="str">
        <f ca="1">VLOOKUP(LARGE($CM$2:$CM$70,5),$CM$2:$CN$70,2,FALSE)</f>
        <v>Jugé Léana</v>
      </c>
      <c r="AZ86" s="1584">
        <f ca="1">VLOOKUP(AY86,$A$1:$AI$70,17,FALSE)+VLOOKUP(AY86,$A$1:$AI$70,18,FALSE)+VLOOKUP(AY86,$A$1:$AI$70,19,FALSE)+VLOOKUP(AY86,$A$1:$AI$70,20,FALSE)+VLOOKUP(AY86,$A$1:$AI$70,21,FALSE)+VLOOKUP(AY86,$A$1:$AI$70,22,FALSE)+VLOOKUP(AY86,$A$1:$AI$70,23,FALSE)</f>
        <v>1</v>
      </c>
      <c r="BA86" s="1419">
        <f ca="1">IF(AY86="","",IF($BD$1&lt;=7,IF(VLOOKUP(AY86,$A$2:$AI$70,3,FALSE)=8,VLOOKUP(AY86,$A$2:$AI$70,17,FALSE),0)+IF(VLOOKUP(AY86,$A$2:$AI$70,4,FALSE)=8,VLOOKUP(AY86,$A$2:$AI$70,18,FALSE),0)+IF(VLOOKUP(AY86,$A$2:$AI$70,5,FALSE)=8,VLOOKUP(AY86,$A$2:$AI$70,19,FALSE),0)+IF(VLOOKUP(AY86,$A$2:$AI$70,6,FALSE)=8,VLOOKUP(AY86,$A$2:$AI$70,20,FALSE),0)+IF(VLOOKUP(AY86,$A$2:$AI$70,7,FALSE)=8,VLOOKUP(AY86,$A$2:$AI$70,21,FALSE),0)+IF(VLOOKUP(AY86,$A$2:$AI$70,8,FALSE)=8,VLOOKUP(AY86,$A$2:$AI$70,22,FALSE),0)+IF(VLOOKUP(AY86,$A$2:$AI$70,9,FALSE)=8,VLOOKUP(AY86,$A$2:$AI$70,23,FALSE),0),IF(VLOOKUP(AY86,$A$2:$AI$70,10,FALSE)=8,VLOOKUP(AY86,$A$2:$AI$70,24,FALSE),0)+IF(VLOOKUP(AY86,$A$2:$AI$70,11,FALSE)=8,VLOOKUP(AY86,$A$2:$AI$70,25,FALSE),0)+IF(VLOOKUP(AY86,$A$2:$AI$70,12,FALSE)=8,VLOOKUP(AY86,$A$2:$AI$70,26,FALSE),0)+IF(VLOOKUP(AY86,$A$2:$AI$70,13,FALSE)=8,VLOOKUP(AY86,$A$2:$AI$70,27,FALSE),0)+IF(VLOOKUP(AY86,$A$2:$AI$70,14,FALSE)=8,VLOOKUP(AY86,$A$2:$AI$70,28,FALSE),0)+IF(VLOOKUP(AY86,$A$2:$AI$70,15,FALSE)=8,VLOOKUP(AY86,$A$2:$AI$70,29,FALSE),0)+IF(VLOOKUP(AY86,$A$2:$AI$70,16,FALSE)=8,VLOOKUP(AY86,$A$2:$AI$70,30,FALSE),0)))</f>
        <v>1</v>
      </c>
      <c r="BB86" s="1411">
        <f ca="1">IF(AY86="","",COUNTIF(AY$76:BE$81,AY86)*BB$92)</f>
        <v>9</v>
      </c>
      <c r="BC86" s="769"/>
      <c r="BD86" s="769"/>
      <c r="BE86" s="769"/>
      <c r="BF86" s="769"/>
      <c r="BG86" s="769"/>
      <c r="BH86" s="769"/>
      <c r="BI86" s="769"/>
      <c r="BJ86" s="769"/>
      <c r="BK86" s="769"/>
      <c r="BL86" s="769"/>
      <c r="BM86" s="769"/>
      <c r="BN86" s="769"/>
      <c r="BO86" s="769"/>
      <c r="BP86" s="769"/>
      <c r="BQ86" s="769"/>
      <c r="BR86" s="769"/>
      <c r="BS86" s="769"/>
      <c r="BT86" s="769"/>
      <c r="BU86" s="769"/>
      <c r="BV86" s="1415"/>
      <c r="BW86" s="1415"/>
      <c r="BX86" s="1415"/>
      <c r="BY86" s="1415"/>
      <c r="BZ86" s="1415"/>
      <c r="CA86" s="1415"/>
      <c r="CB86" s="1415"/>
      <c r="CC86" s="1415"/>
      <c r="CD86" s="1415"/>
      <c r="CE86" s="1415"/>
      <c r="CF86" s="1415"/>
      <c r="CG86" s="1415"/>
      <c r="CH86" s="1415"/>
      <c r="CI86" s="1415"/>
      <c r="CJ86" s="1415"/>
      <c r="CK86" s="1415"/>
      <c r="CL86" s="1415"/>
      <c r="CM86" s="1415"/>
      <c r="CN86" s="1415"/>
      <c r="CO86" s="1406"/>
      <c r="CP86" s="81"/>
      <c r="CQ86" s="81"/>
      <c r="DC86" s="1403"/>
      <c r="DD86" s="1405"/>
      <c r="DF86" s="1404"/>
      <c r="DH86" s="86"/>
      <c r="DI86" s="86"/>
      <c r="DK86"/>
      <c r="DL86" s="769"/>
      <c r="DM86" s="554"/>
      <c r="DN86" s="554"/>
      <c r="DO86" s="1401"/>
      <c r="DP86" s="1400"/>
      <c r="DQ86"/>
      <c r="DR86"/>
    </row>
    <row r="87" spans="1:122" ht="15.75">
      <c r="B87" s="1421" t="str">
        <f ca="1">VLOOKUP(LARGE($BY$2:$BY$70,6),$BY$2:$BZ$70,2,FALSE)</f>
        <v>Trin Kilian</v>
      </c>
      <c r="C87" s="1420">
        <f ca="1">VLOOKUP(B87,$A$1:$AI$70,17,FALSE)+VLOOKUP(B87,$A$1:$AI$70,18,FALSE)+VLOOKUP(B87,$A$1:$AI$70,19,FALSE)+VLOOKUP(B87,$A$1:$AI$70,20,FALSE)+VLOOKUP(B87,$A$1:$AI$70,21,FALSE)+VLOOKUP(B87,$A$1:$AI$70,22,FALSE)+VLOOKUP(B87,$A$1:$AI$70,23,FALSE)</f>
        <v>0</v>
      </c>
      <c r="D87" s="1419">
        <f ca="1">IF(B87="","",IF($BD$1&lt;=7,IF(VLOOKUP(B87,$A$2:$AI$70,3,FALSE)=1,VLOOKUP(B87,$A$2:$AI$70,17,FALSE),0)+IF(VLOOKUP(B87,$A$2:$AI$70,4,FALSE)=1,VLOOKUP(B87,$A$2:$AI$70,18,FALSE),0)+IF(VLOOKUP(B87,$A$2:$AI$70,5,FALSE)=1,VLOOKUP(B87,$A$2:$AI$70,19,FALSE),0)+IF(VLOOKUP(B87,$A$2:$AI$70,6,FALSE)=1,VLOOKUP(B87,$A$2:$AI$70,20,FALSE),0)+IF(VLOOKUP(B87,$A$2:$AI$70,7,FALSE)=1,VLOOKUP(B87,$A$2:$AI$70,21,FALSE),0)+IF(VLOOKUP(B87,$A$2:$AI$70,8,FALSE)=1,VLOOKUP(B87,$A$2:$AI$70,22,FALSE),0)+IF(VLOOKUP(B87,$A$2:$AI$70,9,FALSE)=1,VLOOKUP(B87,$A$2:$AI$70,23,FALSE),0),IF(VLOOKUP(B87,$A$2:$AI$70,10,FALSE)=1,VLOOKUP(B87,$A$2:$AI$70,24,FALSE),0)+IF(VLOOKUP(B87,$A$2:$AI$70,11,FALSE)=1,VLOOKUP(B87,$A$2:$AI$70,25,FALSE),0)+IF(VLOOKUP(B87,$A$2:$AI$70,12,FALSE)=1,VLOOKUP(B87,$A$2:$AI$70,26,FALSE),0)+IF(VLOOKUP(B87,$A$2:$AI$70,13,FALSE)=1,VLOOKUP(B87,$A$2:$AI$70,27,FALSE),0)+IF(VLOOKUP(B87,$A$2:$AI$70,14,FALSE)=1,VLOOKUP(B87,$A$2:$AI$70,28,FALSE),0)+IF(VLOOKUP(B87,$A$2:$AI$70,15,FALSE)=1,VLOOKUP(B87,$A$2:$AI$70,29,FALSE),0)+IF(VLOOKUP(B87,$A$2:$AI$70,16,FALSE)=1,VLOOKUP(B87,$A$2:$AI$70,30,FALSE),0)))</f>
        <v>3</v>
      </c>
      <c r="E87" s="1411">
        <f ca="1">IF(B87="","",COUNTIF(B$76:H$81,B87)*E$92)</f>
        <v>6</v>
      </c>
      <c r="G87" s="769"/>
      <c r="H87" s="769"/>
      <c r="I87" s="1421" t="str">
        <f ca="1">VLOOKUP(LARGE($CA$2:$CA$70,6),$CA$2:$CB$70,2,FALSE)</f>
        <v>Hilton Franck</v>
      </c>
      <c r="J87" s="1420">
        <f ca="1">VLOOKUP(I87,$A$1:$AI$70,17,FALSE)+VLOOKUP(I87,$A$1:$AI$70,18,FALSE)+VLOOKUP(I87,$A$1:$AI$70,19,FALSE)+VLOOKUP(I87,$A$1:$AI$70,20,FALSE)+VLOOKUP(I87,$A$1:$AI$70,21,FALSE)+VLOOKUP(I87,$A$1:$AI$70,22,FALSE)+VLOOKUP(I87,$A$1:$AI$70,23,FALSE)</f>
        <v>19</v>
      </c>
      <c r="K87" s="1419">
        <f ca="1">IF(I87="","",IF($BD$1&lt;=7,IF(VLOOKUP(I87,$A$2:$AI$70,3,FALSE)=2,VLOOKUP(I87,$A$2:$AI$70,17,FALSE),0)+IF(VLOOKUP(I87,$A$2:$AI$70,4,FALSE)=2,VLOOKUP(I87,$A$2:$AI$70,18,FALSE),0)+IF(VLOOKUP(I87,$A$2:$AI$70,5,FALSE)=2,VLOOKUP(I87,$A$2:$AI$70,19,FALSE),0)+IF(VLOOKUP(I87,$A$2:$AI$70,6,FALSE)=2,VLOOKUP(I87,$A$2:$AI$70,20,FALSE),0)+IF(VLOOKUP(I87,$A$2:$AI$70,7,FALSE)=2,VLOOKUP(I87,$A$2:$AI$70,21,FALSE),0)+IF(VLOOKUP(I87,$A$2:$AI$70,8,FALSE)=2,VLOOKUP(I87,$A$2:$AI$70,22,FALSE),0)+IF(VLOOKUP(I87,$A$2:$AI$70,9,FALSE)=2,VLOOKUP(I87,$A$2:$AI$70,23,FALSE),0),IF(VLOOKUP(I87,$A$2:$AI$70,10,FALSE)=2,VLOOKUP(I87,$A$2:$AI$70,24,FALSE),0)+IF(VLOOKUP(I87,$A$2:$AI$70,11,FALSE)=2,VLOOKUP(I87,$A$2:$AI$70,25,FALSE),0)+IF(VLOOKUP(I87,$A$2:$AI$70,12,FALSE)=2,VLOOKUP(I87,$A$2:$AI$70,26,FALSE),0)+IF(VLOOKUP(I87,$A$2:$AI$70,13,FALSE)=2,VLOOKUP(I87,$A$2:$AI$70,27,FALSE),0)+IF(VLOOKUP(I87,$A$2:$AI$70,14,FALSE)=2,VLOOKUP(I87,$A$2:$AI$70,28,FALSE),0)+IF(VLOOKUP(I87,$A$2:$AI$70,15,FALSE)=2,VLOOKUP(I87,$A$2:$AI$70,29,FALSE),0)+IF(VLOOKUP(I87,$A$2:$AI$70,16,FALSE)=2,VLOOKUP(I87,$A$2:$AI$70,30,FALSE),0)))</f>
        <v>6</v>
      </c>
      <c r="L87" s="1411">
        <f ca="1">IF(I87="","",COUNTIF(I$76:O$81,I87)*L$92)</f>
        <v>6</v>
      </c>
      <c r="M87" s="769"/>
      <c r="N87" s="769"/>
      <c r="O87" s="769"/>
      <c r="P87" s="1421" t="str">
        <f ca="1">VLOOKUP(LARGE($CC$2:$CC$70,6),$CC$2:$CD$70,2,FALSE)</f>
        <v>Vilain Benjamin</v>
      </c>
      <c r="Q87" s="1420">
        <f ca="1">VLOOKUP(P87,$A$1:$AI$70,17,FALSE)+VLOOKUP(P87,$A$1:$AI$70,18,FALSE)+VLOOKUP(P87,$A$1:$AI$70,19,FALSE)+VLOOKUP(P87,$A$1:$AI$70,20,FALSE)+VLOOKUP(P87,$A$1:$AI$70,21,FALSE)+VLOOKUP(P87,$A$1:$AI$70,22,FALSE)+VLOOKUP(P87,$A$1:$AI$70,23,FALSE)</f>
        <v>8</v>
      </c>
      <c r="R87" s="1419">
        <f ca="1">IF(P87="","",IF($BD$1&lt;=7,IF(VLOOKUP(P87,$A$2:$AI$70,3,FALSE)=3,VLOOKUP(P87,$A$2:$AI$70,17,FALSE),0)+IF(VLOOKUP(P87,$A$2:$AI$70,4,FALSE)=3,VLOOKUP(P87,$A$2:$AI$70,18,FALSE),0)+IF(VLOOKUP(P87,$A$2:$AI$70,5,FALSE)=3,VLOOKUP(P87,$A$2:$AI$70,19,FALSE),0)+IF(VLOOKUP(P87,$A$2:$AI$70,6,FALSE)=3,VLOOKUP(P87,$A$2:$AI$70,20,FALSE),0)+IF(VLOOKUP(P87,$A$2:$AI$70,7,FALSE)=3,VLOOKUP(P87,$A$2:$AI$70,21,FALSE),0)+IF(VLOOKUP(P87,$A$2:$AI$70,8,FALSE)=3,VLOOKUP(P87,$A$2:$AI$70,22,FALSE),0)+IF(VLOOKUP(P87,$A$2:$AI$70,9,FALSE)=3,VLOOKUP(P87,$A$2:$AI$70,23,FALSE),0),IF(VLOOKUP(P87,$A$2:$AI$70,10,FALSE)=3,VLOOKUP(P87,$A$2:$AI$70,24,FALSE),0)+IF(VLOOKUP(P87,$A$2:$AI$70,11,FALSE)=3,VLOOKUP(P87,$A$2:$AI$70,25,FALSE),0)+IF(VLOOKUP(P87,$A$2:$AI$70,12,FALSE)=3,VLOOKUP(P87,$A$2:$AI$70,26,FALSE),0)+IF(VLOOKUP(P87,$A$2:$AI$70,13,FALSE)=3,VLOOKUP(P87,$A$2:$AI$70,27,FALSE),0)+IF(VLOOKUP(P87,$A$2:$AI$70,14,FALSE)=3,VLOOKUP(P87,$A$2:$AI$70,28,FALSE),0)+IF(VLOOKUP(P87,$A$2:$AI$70,15,FALSE)=3,VLOOKUP(P87,$A$2:$AI$70,29,FALSE),0)+IF(VLOOKUP(P87,$A$2:$AI$70,16,FALSE)=3,VLOOKUP(P87,$A$2:$AI$70,30,FALSE),0)))</f>
        <v>3</v>
      </c>
      <c r="S87" s="1411">
        <f ca="1">IF(P87="","",COUNTIF(P$76:V$81,P87)*S$92)</f>
        <v>3</v>
      </c>
      <c r="T87" s="769"/>
      <c r="U87" s="769"/>
      <c r="V87" s="769"/>
      <c r="W87" s="1421" t="str">
        <f ca="1">VLOOKUP(LARGE($CE$2:$CE$70,6),$CE$2:$CF$70,2,FALSE)</f>
        <v>Morin Quentin</v>
      </c>
      <c r="X87" s="1420">
        <f ca="1">VLOOKUP(W87,$A$1:$AI$70,17,FALSE)+VLOOKUP(W87,$A$1:$AI$70,18,FALSE)+VLOOKUP(W87,$A$1:$AI$70,19,FALSE)+VLOOKUP(W87,$A$1:$AI$70,20,FALSE)+VLOOKUP(W87,$A$1:$AI$70,21,FALSE)+VLOOKUP(W87,$A$1:$AI$70,22,FALSE)+VLOOKUP(W87,$A$1:$AI$70,23,FALSE)</f>
        <v>13</v>
      </c>
      <c r="Y87" s="1419">
        <f ca="1">IF(W87="","",IF($BD$1&lt;=7,IF(VLOOKUP(W87,$A$2:$AI$70,3,FALSE)=4,VLOOKUP(W87,$A$2:$AI$70,17,FALSE),0)+IF(VLOOKUP(W87,$A$2:$AI$70,4,FALSE)=4,VLOOKUP(W87,$A$2:$AI$70,18,FALSE),0)+IF(VLOOKUP(W87,$A$2:$AI$70,5,FALSE)=4,VLOOKUP(W87,$A$2:$AI$70,19,FALSE),0)+IF(VLOOKUP(W87,$A$2:$AI$70,6,FALSE)=4,VLOOKUP(W87,$A$2:$AI$70,20,FALSE),0)+IF(VLOOKUP(W87,$A$2:$AI$70,7,FALSE)=4,VLOOKUP(W87,$A$2:$AI$70,21,FALSE),0)+IF(VLOOKUP(W87,$A$2:$AI$70,8,FALSE)=4,VLOOKUP(W87,$A$2:$AI$70,22,FALSE),0)+IF(VLOOKUP(W87,$A$2:$AI$70,9,FALSE)=4,VLOOKUP(W87,$A$2:$AI$70,23,FALSE),0),IF(VLOOKUP(W87,$A$2:$AI$70,10,FALSE)=4,VLOOKUP(W87,$A$2:$AI$70,24,FALSE),0)+IF(VLOOKUP(W87,$A$2:$AI$70,11,FALSE)=4,VLOOKUP(W87,$A$2:$AI$70,25,FALSE),0)+IF(VLOOKUP(W87,$A$2:$AI$70,12,FALSE)=4,VLOOKUP(W87,$A$2:$AI$70,26,FALSE),0)+IF(VLOOKUP(W87,$A$2:$AI$70,13,FALSE)=4,VLOOKUP(W87,$A$2:$AI$70,27,FALSE),0)+IF(VLOOKUP(W87,$A$2:$AI$70,14,FALSE)=4,VLOOKUP(W87,$A$2:$AI$70,28,FALSE),0)+IF(VLOOKUP(W87,$A$2:$AI$70,15,FALSE)=4,VLOOKUP(W87,$A$2:$AI$70,29,FALSE),0)+IF(VLOOKUP(W87,$A$2:$AI$70,16,FALSE)=4,VLOOKUP(W87,$A$2:$AI$70,30,FALSE),0)))</f>
        <v>2</v>
      </c>
      <c r="Z87" s="1411">
        <f ca="1">IF(W87="","",COUNTIF(W$76:AC$81,W87)*Z$92)</f>
        <v>3</v>
      </c>
      <c r="AA87" s="769"/>
      <c r="AB87" s="769"/>
      <c r="AC87" s="769"/>
      <c r="AD87" s="1421" t="str">
        <f ca="1">VLOOKUP(LARGE($CG$2:$CG$70,6),$CG$2:$CH$70,2,FALSE)</f>
        <v>Le Cam Corentin</v>
      </c>
      <c r="AE87" s="1420">
        <f ca="1">VLOOKUP(AD87,$A$1:$AI$70,17,FALSE)+VLOOKUP(AD87,$A$1:$AI$70,18,FALSE)+VLOOKUP(AD87,$A$1:$AI$70,19,FALSE)+VLOOKUP(AD87,$A$1:$AI$70,20,FALSE)+VLOOKUP(AD87,$A$1:$AI$70,21,FALSE)+VLOOKUP(AD87,$A$1:$AI$70,22,FALSE)+VLOOKUP(AD87,$A$1:$AI$70,23,FALSE)</f>
        <v>4</v>
      </c>
      <c r="AF87" s="1419">
        <f ca="1">IF(AD87="","",IF($BD$1&lt;=7,IF(VLOOKUP(AD87,$A$2:$AI$70,3,FALSE)=5,VLOOKUP(AD87,$A$2:$AI$70,17,FALSE),0)+IF(VLOOKUP(AD87,$A$2:$AI$70,4,FALSE)=5,VLOOKUP(AD87,$A$2:$AI$70,18,FALSE),0)+IF(VLOOKUP(AD87,$A$2:$AI$70,5,FALSE)=5,VLOOKUP(AD87,$A$2:$AI$70,19,FALSE),0)+IF(VLOOKUP(AD87,$A$2:$AI$70,6,FALSE)=5,VLOOKUP(AD87,$A$2:$AI$70,20,FALSE),0)+IF(VLOOKUP(AD87,$A$2:$AI$70,7,FALSE)=5,VLOOKUP(AD87,$A$2:$AI$70,21,FALSE),0)+IF(VLOOKUP(AD87,$A$2:$AI$70,8,FALSE)=5,VLOOKUP(AD87,$A$2:$AI$70,22,FALSE),0)+IF(VLOOKUP(AD87,$A$2:$AI$70,9,FALSE)=5,VLOOKUP(AD87,$A$2:$AI$70,23,FALSE),0),IF(VLOOKUP(AD87,$A$2:$AI$70,10,FALSE)=5,VLOOKUP(AD87,$A$2:$AI$70,24,FALSE),0)+IF(VLOOKUP(AD87,$A$2:$AI$70,11,FALSE)=5,VLOOKUP(AD87,$A$2:$AI$70,25,FALSE),0)+IF(VLOOKUP(AD87,$A$2:$AI$70,12,FALSE)=5,VLOOKUP(AD87,$A$2:$AI$70,26,FALSE),0)+IF(VLOOKUP(AD87,$A$2:$AI$70,13,FALSE)=5,VLOOKUP(AD87,$A$2:$AI$70,27,FALSE),0)+IF(VLOOKUP(AD87,$A$2:$AI$70,14,FALSE)=5,VLOOKUP(AD87,$A$2:$AI$70,28,FALSE),0)+IF(VLOOKUP(AD87,$A$2:$AI$70,15,FALSE)=5,VLOOKUP(AD87,$A$2:$AI$70,29,FALSE),0)+IF(VLOOKUP(AD87,$A$2:$AI$70,16,FALSE)=5,VLOOKUP(AD87,$A$2:$AI$70,30,FALSE),0)))</f>
        <v>0</v>
      </c>
      <c r="AG87" s="1411">
        <f ca="1">IF(AD87="","",COUNTIF(AD$76:AJ$81,AD87)*AG$92)</f>
        <v>3</v>
      </c>
      <c r="AH87" s="1413"/>
      <c r="AI87" s="769"/>
      <c r="AJ87" s="769"/>
      <c r="AK87" s="1421" t="str">
        <f ca="1">VLOOKUP(LARGE($CI$2:$CI$70,6),$CI$2:$CJ$70,2,FALSE)</f>
        <v>Touche Rémy</v>
      </c>
      <c r="AL87" s="1420">
        <f ca="1">VLOOKUP(AK87,$A$1:$AI$70,17,FALSE)+VLOOKUP(AK87,$A$1:$AI$70,18,FALSE)+VLOOKUP(AK87,$A$1:$AI$70,19,FALSE)+VLOOKUP(AK87,$A$1:$AI$70,20,FALSE)+VLOOKUP(AK87,$A$1:$AI$70,21,FALSE)+VLOOKUP(AK87,$A$1:$AI$70,22,FALSE)+VLOOKUP(AK87,$A$1:$AI$70,23,FALSE)</f>
        <v>16</v>
      </c>
      <c r="AM87" s="1419">
        <f ca="1">IF(AK87="","",IF($BD$1&lt;=7,IF(VLOOKUP(AK87,$A$2:$AI$70,3,FALSE)=6,VLOOKUP(AK87,$A$2:$AI$70,17,FALSE),0)+IF(VLOOKUP(AK87,$A$2:$AI$70,4,FALSE)=6,VLOOKUP(AK87,$A$2:$AI$70,18,FALSE),0)+IF(VLOOKUP(AK87,$A$2:$AI$70,5,FALSE)=6,VLOOKUP(AK87,$A$2:$AI$70,19,FALSE),0)+IF(VLOOKUP(AK87,$A$2:$AI$70,6,FALSE)=6,VLOOKUP(AK87,$A$2:$AI$70,20,FALSE),0)+IF(VLOOKUP(AK87,$A$2:$AI$70,7,FALSE)=6,VLOOKUP(AK87,$A$2:$AI$70,21,FALSE),0)+IF(VLOOKUP(AK87,$A$2:$AI$70,8,FALSE)=6,VLOOKUP(AK87,$A$2:$AI$70,22,FALSE),0)+IF(VLOOKUP(AK87,$A$2:$AI$70,9,FALSE)=6,VLOOKUP(AK87,$A$2:$AI$70,23,FALSE),0),IF(VLOOKUP(AK87,$A$2:$AI$70,10,FALSE)=6,VLOOKUP(AK87,$A$2:$AI$70,24,FALSE),0)+IF(VLOOKUP(AK87,$A$2:$AI$70,11,FALSE)=6,VLOOKUP(AK87,$A$2:$AI$70,25,FALSE),0)+IF(VLOOKUP(AK87,$A$2:$AI$70,12,FALSE)=6,VLOOKUP(AK87,$A$2:$AI$70,26,FALSE),0)+IF(VLOOKUP(AK87,$A$2:$AI$70,13,FALSE)=6,VLOOKUP(AK87,$A$2:$AI$70,27,FALSE),0)+IF(VLOOKUP(AK87,$A$2:$AI$70,14,FALSE)=6,VLOOKUP(AK87,$A$2:$AI$70,28,FALSE),0)+IF(VLOOKUP(AK87,$A$2:$AI$70,15,FALSE)=6,VLOOKUP(AK87,$A$2:$AI$70,29,FALSE),0)+IF(VLOOKUP(AK87,$A$2:$AI$70,16,FALSE)=6,VLOOKUP(AK87,$A$2:$AI$70,30,FALSE),0)))</f>
        <v>3</v>
      </c>
      <c r="AN87" s="1411">
        <f ca="1">IF(AK87="","",COUNTIF(AK$76:AQ$81,AK87)*AN$92)</f>
        <v>6</v>
      </c>
      <c r="AO87" s="769"/>
      <c r="AP87" s="769"/>
      <c r="AQ87" s="769"/>
      <c r="AR87" s="1421" t="str">
        <f ca="1">VLOOKUP(LARGE($CK$2:$CK$70,6),$CK$2:$CL$70,2,FALSE)</f>
        <v>Sail Rémy</v>
      </c>
      <c r="AS87" s="1420">
        <f ca="1">VLOOKUP(AR87,$A$1:$AI$70,17,FALSE)+VLOOKUP(AR87,$A$1:$AI$70,18,FALSE)+VLOOKUP(AR87,$A$1:$AI$70,19,FALSE)+VLOOKUP(AR87,$A$1:$AI$70,20,FALSE)+VLOOKUP(AR87,$A$1:$AI$70,21,FALSE)+VLOOKUP(AR87,$A$1:$AI$70,22,FALSE)+VLOOKUP(AR87,$A$1:$AI$70,23,FALSE)</f>
        <v>14</v>
      </c>
      <c r="AT87" s="1419">
        <f ca="1">IF(AR87="","",IF($BD$1&lt;=7,IF(VLOOKUP(AR87,$A$2:$AI$70,3,FALSE)=7,VLOOKUP(AR87,$A$2:$AI$70,17,FALSE),0)+IF(VLOOKUP(AR87,$A$2:$AI$70,4,FALSE)=7,VLOOKUP(AR87,$A$2:$AI$70,18,FALSE),0)+IF(VLOOKUP(AR87,$A$2:$AI$70,5,FALSE)=7,VLOOKUP(AR87,$A$2:$AI$70,19,FALSE),0)+IF(VLOOKUP(AR87,$A$2:$AI$70,6,FALSE)=7,VLOOKUP(AR87,$A$2:$AI$70,20,FALSE),0)+IF(VLOOKUP(AR87,$A$2:$AI$70,7,FALSE)=7,VLOOKUP(AR87,$A$2:$AI$70,21,FALSE),0)+IF(VLOOKUP(AR87,$A$2:$AI$70,8,FALSE)=7,VLOOKUP(AR87,$A$2:$AI$70,22,FALSE),0)+IF(VLOOKUP(AR87,$A$2:$AI$70,9,FALSE)=7,VLOOKUP(AR87,$A$2:$AI$70,23,FALSE),0),IF(VLOOKUP(AR87,$A$2:$AI$70,10,FALSE)=7,VLOOKUP(AR87,$A$2:$AI$70,24,FALSE),0)+IF(VLOOKUP(AR87,$A$2:$AI$70,11,FALSE)=7,VLOOKUP(AR87,$A$2:$AI$70,25,FALSE),0)+IF(VLOOKUP(AR87,$A$2:$AI$70,12,FALSE)=7,VLOOKUP(AR87,$A$2:$AI$70,26,FALSE),0)+IF(VLOOKUP(AR87,$A$2:$AI$70,13,FALSE)=7,VLOOKUP(AR87,$A$2:$AI$70,27,FALSE),0)+IF(VLOOKUP(AR87,$A$2:$AI$70,14,FALSE)=7,VLOOKUP(AR87,$A$2:$AI$70,28,FALSE),0)+IF(VLOOKUP(AR87,$A$2:$AI$70,15,FALSE)=7,VLOOKUP(AR87,$A$2:$AI$70,29,FALSE),0)+IF(VLOOKUP(AR87,$A$2:$AI$70,16,FALSE)=7,VLOOKUP(AR87,$A$2:$AI$70,30,FALSE),0)))</f>
        <v>3</v>
      </c>
      <c r="AU87" s="1411">
        <f ca="1">IF(AR87="","",COUNTIF(AR$76:AX$81,AR87)*AU$92)</f>
        <v>6</v>
      </c>
      <c r="AV87" s="769"/>
      <c r="AW87" s="769"/>
      <c r="AX87" s="1414"/>
      <c r="AY87" s="1588" t="str">
        <f ca="1">VLOOKUP(LARGE($CM$2:$CM$70,6),$CM$2:$CN$70,2,FALSE)</f>
        <v/>
      </c>
      <c r="AZ87" s="1584">
        <f ca="1">VLOOKUP(AY87,$A$1:$AI$70,17,FALSE)+VLOOKUP(AY87,$A$1:$AI$70,18,FALSE)+VLOOKUP(AY87,$A$1:$AI$70,19,FALSE)+VLOOKUP(AY87,$A$1:$AI$70,20,FALSE)+VLOOKUP(AY87,$A$1:$AI$70,21,FALSE)+VLOOKUP(AY87,$A$1:$AI$70,22,FALSE)+VLOOKUP(AY87,$A$1:$AI$70,23,FALSE)</f>
        <v>0</v>
      </c>
      <c r="BA87" s="1419" t="str">
        <f ca="1">IF(AY87="","",IF($BD$1&lt;=7,IF(VLOOKUP(AY87,$A$2:$AI$70,3,FALSE)=8,VLOOKUP(AY87,$A$2:$AI$70,17,FALSE),0)+IF(VLOOKUP(AY87,$A$2:$AI$70,4,FALSE)=8,VLOOKUP(AY87,$A$2:$AI$70,18,FALSE),0)+IF(VLOOKUP(AY87,$A$2:$AI$70,5,FALSE)=8,VLOOKUP(AY87,$A$2:$AI$70,19,FALSE),0)+IF(VLOOKUP(AY87,$A$2:$AI$70,6,FALSE)=8,VLOOKUP(AY87,$A$2:$AI$70,20,FALSE),0)+IF(VLOOKUP(AY87,$A$2:$AI$70,7,FALSE)=8,VLOOKUP(AY87,$A$2:$AI$70,21,FALSE),0)+IF(VLOOKUP(AY87,$A$2:$AI$70,8,FALSE)=8,VLOOKUP(AY87,$A$2:$AI$70,22,FALSE),0)+IF(VLOOKUP(AY87,$A$2:$AI$70,9,FALSE)=8,VLOOKUP(AY87,$A$2:$AI$70,23,FALSE),0),IF(VLOOKUP(AY87,$A$2:$AI$70,10,FALSE)=8,VLOOKUP(AY87,$A$2:$AI$70,24,FALSE),0)+IF(VLOOKUP(AY87,$A$2:$AI$70,11,FALSE)=8,VLOOKUP(AY87,$A$2:$AI$70,25,FALSE),0)+IF(VLOOKUP(AY87,$A$2:$AI$70,12,FALSE)=8,VLOOKUP(AY87,$A$2:$AI$70,26,FALSE),0)+IF(VLOOKUP(AY87,$A$2:$AI$70,13,FALSE)=8,VLOOKUP(AY87,$A$2:$AI$70,27,FALSE),0)+IF(VLOOKUP(AY87,$A$2:$AI$70,14,FALSE)=8,VLOOKUP(AY87,$A$2:$AI$70,28,FALSE),0)+IF(VLOOKUP(AY87,$A$2:$AI$70,15,FALSE)=8,VLOOKUP(AY87,$A$2:$AI$70,29,FALSE),0)+IF(VLOOKUP(AY87,$A$2:$AI$70,16,FALSE)=8,VLOOKUP(AY87,$A$2:$AI$70,30,FALSE),0)))</f>
        <v/>
      </c>
      <c r="BB87" s="1411" t="str">
        <f ca="1">IF(AY87="","",COUNTIF(AY$76:BE$81,AY87)*BB$92)</f>
        <v/>
      </c>
      <c r="BC87" s="769"/>
      <c r="BD87" s="769"/>
      <c r="BE87" s="769"/>
      <c r="BF87" s="769"/>
      <c r="BG87" s="769"/>
      <c r="BH87" s="769"/>
      <c r="BI87" s="769"/>
      <c r="BJ87" s="769"/>
      <c r="BK87" s="769"/>
      <c r="BL87" s="769"/>
      <c r="BM87" s="769"/>
      <c r="BN87" s="769"/>
      <c r="BO87" s="769"/>
      <c r="BP87" s="769"/>
      <c r="BQ87" s="769"/>
      <c r="BR87" s="769"/>
      <c r="BS87" s="769"/>
      <c r="BT87" s="769"/>
      <c r="BU87" s="769"/>
      <c r="BV87" s="1415"/>
      <c r="BW87" s="1415"/>
      <c r="BX87" s="1415"/>
      <c r="BY87" s="1415"/>
      <c r="BZ87" s="1415"/>
      <c r="CA87" s="1415"/>
      <c r="CB87" s="1415"/>
      <c r="CC87" s="1415"/>
      <c r="CD87" s="1415"/>
      <c r="CE87" s="1415"/>
      <c r="CF87" s="1415"/>
      <c r="CG87" s="1415"/>
      <c r="CH87" s="1415"/>
      <c r="CI87" s="1415"/>
      <c r="CJ87" s="1415"/>
      <c r="CK87" s="1415"/>
      <c r="CL87" s="1415"/>
      <c r="CM87" s="1415"/>
      <c r="CN87" s="1415"/>
      <c r="CO87" s="1406"/>
      <c r="CP87" s="81"/>
      <c r="CQ87" s="81"/>
      <c r="DC87" s="1403"/>
      <c r="DD87" s="1405"/>
      <c r="DF87" s="1404"/>
      <c r="DH87" s="86"/>
      <c r="DI87" s="86"/>
      <c r="DK87"/>
      <c r="DL87" s="769"/>
      <c r="DM87" s="554"/>
      <c r="DN87" s="554"/>
      <c r="DO87" s="1401"/>
      <c r="DP87" s="1400"/>
      <c r="DQ87"/>
      <c r="DR87"/>
    </row>
    <row r="88" spans="1:122" ht="15.75">
      <c r="B88" s="1421" t="str">
        <f ca="1">VLOOKUP(LARGE($BY$2:$BY$70,7),$BY$2:$BZ$70,2,FALSE)</f>
        <v>Morin Quentin</v>
      </c>
      <c r="C88" s="1420">
        <f ca="1">VLOOKUP(B88,$A$1:$AI$70,17,FALSE)+VLOOKUP(B88,$A$1:$AI$70,18,FALSE)+VLOOKUP(B88,$A$1:$AI$70,19,FALSE)+VLOOKUP(B88,$A$1:$AI$70,20,FALSE)+VLOOKUP(B88,$A$1:$AI$70,21,FALSE)+VLOOKUP(B88,$A$1:$AI$70,22,FALSE)+VLOOKUP(B88,$A$1:$AI$70,23,FALSE)</f>
        <v>13</v>
      </c>
      <c r="D88" s="1419">
        <f ca="1">IF(B88="","",IF($BD$1&lt;=7,IF(VLOOKUP(B88,$A$2:$AI$70,3,FALSE)=1,VLOOKUP(B88,$A$2:$AI$70,17,FALSE),0)+IF(VLOOKUP(B88,$A$2:$AI$70,4,FALSE)=1,VLOOKUP(B88,$A$2:$AI$70,18,FALSE),0)+IF(VLOOKUP(B88,$A$2:$AI$70,5,FALSE)=1,VLOOKUP(B88,$A$2:$AI$70,19,FALSE),0)+IF(VLOOKUP(B88,$A$2:$AI$70,6,FALSE)=1,VLOOKUP(B88,$A$2:$AI$70,20,FALSE),0)+IF(VLOOKUP(B88,$A$2:$AI$70,7,FALSE)=1,VLOOKUP(B88,$A$2:$AI$70,21,FALSE),0)+IF(VLOOKUP(B88,$A$2:$AI$70,8,FALSE)=1,VLOOKUP(B88,$A$2:$AI$70,22,FALSE),0)+IF(VLOOKUP(B88,$A$2:$AI$70,9,FALSE)=1,VLOOKUP(B88,$A$2:$AI$70,23,FALSE),0),IF(VLOOKUP(B88,$A$2:$AI$70,10,FALSE)=1,VLOOKUP(B88,$A$2:$AI$70,24,FALSE),0)+IF(VLOOKUP(B88,$A$2:$AI$70,11,FALSE)=1,VLOOKUP(B88,$A$2:$AI$70,25,FALSE),0)+IF(VLOOKUP(B88,$A$2:$AI$70,12,FALSE)=1,VLOOKUP(B88,$A$2:$AI$70,26,FALSE),0)+IF(VLOOKUP(B88,$A$2:$AI$70,13,FALSE)=1,VLOOKUP(B88,$A$2:$AI$70,27,FALSE),0)+IF(VLOOKUP(B88,$A$2:$AI$70,14,FALSE)=1,VLOOKUP(B88,$A$2:$AI$70,28,FALSE),0)+IF(VLOOKUP(B88,$A$2:$AI$70,15,FALSE)=1,VLOOKUP(B88,$A$2:$AI$70,29,FALSE),0)+IF(VLOOKUP(B88,$A$2:$AI$70,16,FALSE)=1,VLOOKUP(B88,$A$2:$AI$70,30,FALSE),0)))</f>
        <v>0</v>
      </c>
      <c r="E88" s="1411">
        <f ca="1">IF(B88="","",COUNTIF(B$76:H$81,B88)*E$92)</f>
        <v>3</v>
      </c>
      <c r="F88" s="769"/>
      <c r="G88" s="769"/>
      <c r="H88" s="769"/>
      <c r="I88" s="1421" t="str">
        <f ca="1">VLOOKUP(LARGE($CA$2:$CA$70,7),$CA$2:$CB$70,2,FALSE)</f>
        <v>Colombel Guy</v>
      </c>
      <c r="J88" s="1420">
        <f ca="1">VLOOKUP(I88,$A$1:$AI$70,17,FALSE)+VLOOKUP(I88,$A$1:$AI$70,18,FALSE)+VLOOKUP(I88,$A$1:$AI$70,19,FALSE)+VLOOKUP(I88,$A$1:$AI$70,20,FALSE)+VLOOKUP(I88,$A$1:$AI$70,21,FALSE)+VLOOKUP(I88,$A$1:$AI$70,22,FALSE)+VLOOKUP(I88,$A$1:$AI$70,23,FALSE)</f>
        <v>3</v>
      </c>
      <c r="K88" s="1419">
        <f ca="1">IF(I88="","",IF($BD$1&lt;=7,IF(VLOOKUP(I88,$A$2:$AI$70,3,FALSE)=2,VLOOKUP(I88,$A$2:$AI$70,17,FALSE),0)+IF(VLOOKUP(I88,$A$2:$AI$70,4,FALSE)=2,VLOOKUP(I88,$A$2:$AI$70,18,FALSE),0)+IF(VLOOKUP(I88,$A$2:$AI$70,5,FALSE)=2,VLOOKUP(I88,$A$2:$AI$70,19,FALSE),0)+IF(VLOOKUP(I88,$A$2:$AI$70,6,FALSE)=2,VLOOKUP(I88,$A$2:$AI$70,20,FALSE),0)+IF(VLOOKUP(I88,$A$2:$AI$70,7,FALSE)=2,VLOOKUP(I88,$A$2:$AI$70,21,FALSE),0)+IF(VLOOKUP(I88,$A$2:$AI$70,8,FALSE)=2,VLOOKUP(I88,$A$2:$AI$70,22,FALSE),0)+IF(VLOOKUP(I88,$A$2:$AI$70,9,FALSE)=2,VLOOKUP(I88,$A$2:$AI$70,23,FALSE),0),IF(VLOOKUP(I88,$A$2:$AI$70,10,FALSE)=2,VLOOKUP(I88,$A$2:$AI$70,24,FALSE),0)+IF(VLOOKUP(I88,$A$2:$AI$70,11,FALSE)=2,VLOOKUP(I88,$A$2:$AI$70,25,FALSE),0)+IF(VLOOKUP(I88,$A$2:$AI$70,12,FALSE)=2,VLOOKUP(I88,$A$2:$AI$70,26,FALSE),0)+IF(VLOOKUP(I88,$A$2:$AI$70,13,FALSE)=2,VLOOKUP(I88,$A$2:$AI$70,27,FALSE),0)+IF(VLOOKUP(I88,$A$2:$AI$70,14,FALSE)=2,VLOOKUP(I88,$A$2:$AI$70,28,FALSE),0)+IF(VLOOKUP(I88,$A$2:$AI$70,15,FALSE)=2,VLOOKUP(I88,$A$2:$AI$70,29,FALSE),0)+IF(VLOOKUP(I88,$A$2:$AI$70,16,FALSE)=2,VLOOKUP(I88,$A$2:$AI$70,30,FALSE),0)))</f>
        <v>1</v>
      </c>
      <c r="L88" s="1411">
        <f ca="1">IF(I88="","",COUNTIF(I$76:O$81,I88)*L$92)</f>
        <v>3</v>
      </c>
      <c r="M88" s="769"/>
      <c r="N88" s="769"/>
      <c r="O88" s="769"/>
      <c r="P88" s="1421" t="str">
        <f ca="1">VLOOKUP(LARGE($CC$2:$CC$70,7),$CC$2:$CD$70,2,FALSE)</f>
        <v/>
      </c>
      <c r="Q88" s="1420">
        <f ca="1">VLOOKUP(P88,$A$1:$AI$70,17,FALSE)+VLOOKUP(P88,$A$1:$AI$70,18,FALSE)+VLOOKUP(P88,$A$1:$AI$70,19,FALSE)+VLOOKUP(P88,$A$1:$AI$70,20,FALSE)+VLOOKUP(P88,$A$1:$AI$70,21,FALSE)+VLOOKUP(P88,$A$1:$AI$70,22,FALSE)+VLOOKUP(P88,$A$1:$AI$70,23,FALSE)</f>
        <v>0</v>
      </c>
      <c r="R88" s="1419" t="str">
        <f ca="1">IF(P88="","",IF($BD$1&lt;=7,IF(VLOOKUP(P88,$A$2:$AI$70,3,FALSE)=3,VLOOKUP(P88,$A$2:$AI$70,17,FALSE),0)+IF(VLOOKUP(P88,$A$2:$AI$70,4,FALSE)=3,VLOOKUP(P88,$A$2:$AI$70,18,FALSE),0)+IF(VLOOKUP(P88,$A$2:$AI$70,5,FALSE)=3,VLOOKUP(P88,$A$2:$AI$70,19,FALSE),0)+IF(VLOOKUP(P88,$A$2:$AI$70,6,FALSE)=3,VLOOKUP(P88,$A$2:$AI$70,20,FALSE),0)+IF(VLOOKUP(P88,$A$2:$AI$70,7,FALSE)=3,VLOOKUP(P88,$A$2:$AI$70,21,FALSE),0)+IF(VLOOKUP(P88,$A$2:$AI$70,8,FALSE)=3,VLOOKUP(P88,$A$2:$AI$70,22,FALSE),0)+IF(VLOOKUP(P88,$A$2:$AI$70,9,FALSE)=3,VLOOKUP(P88,$A$2:$AI$70,23,FALSE),0),IF(VLOOKUP(P88,$A$2:$AI$70,10,FALSE)=3,VLOOKUP(P88,$A$2:$AI$70,24,FALSE),0)+IF(VLOOKUP(P88,$A$2:$AI$70,11,FALSE)=3,VLOOKUP(P88,$A$2:$AI$70,25,FALSE),0)+IF(VLOOKUP(P88,$A$2:$AI$70,12,FALSE)=3,VLOOKUP(P88,$A$2:$AI$70,26,FALSE),0)+IF(VLOOKUP(P88,$A$2:$AI$70,13,FALSE)=3,VLOOKUP(P88,$A$2:$AI$70,27,FALSE),0)+IF(VLOOKUP(P88,$A$2:$AI$70,14,FALSE)=3,VLOOKUP(P88,$A$2:$AI$70,28,FALSE),0)+IF(VLOOKUP(P88,$A$2:$AI$70,15,FALSE)=3,VLOOKUP(P88,$A$2:$AI$70,29,FALSE),0)+IF(VLOOKUP(P88,$A$2:$AI$70,16,FALSE)=3,VLOOKUP(P88,$A$2:$AI$70,30,FALSE),0)))</f>
        <v/>
      </c>
      <c r="S88" s="1411" t="str">
        <f ca="1">IF(P88="","",COUNTIF(P$76:V$81,P88)*S$92)</f>
        <v/>
      </c>
      <c r="T88" s="769"/>
      <c r="U88" s="769"/>
      <c r="V88" s="769"/>
      <c r="W88" s="1421" t="str">
        <f ca="1">VLOOKUP(LARGE($CE$2:$CE$70,7),$CE$2:$CF$70,2,FALSE)</f>
        <v>Morin Léa</v>
      </c>
      <c r="X88" s="1420">
        <f ca="1">VLOOKUP(W88,$A$1:$AI$70,17,FALSE)+VLOOKUP(W88,$A$1:$AI$70,18,FALSE)+VLOOKUP(W88,$A$1:$AI$70,19,FALSE)+VLOOKUP(W88,$A$1:$AI$70,20,FALSE)+VLOOKUP(W88,$A$1:$AI$70,21,FALSE)+VLOOKUP(W88,$A$1:$AI$70,22,FALSE)+VLOOKUP(W88,$A$1:$AI$70,23,FALSE)</f>
        <v>3</v>
      </c>
      <c r="Y88" s="1419">
        <f ca="1">IF(W88="","",IF($BD$1&lt;=7,IF(VLOOKUP(W88,$A$2:$AI$70,3,FALSE)=4,VLOOKUP(W88,$A$2:$AI$70,17,FALSE),0)+IF(VLOOKUP(W88,$A$2:$AI$70,4,FALSE)=4,VLOOKUP(W88,$A$2:$AI$70,18,FALSE),0)+IF(VLOOKUP(W88,$A$2:$AI$70,5,FALSE)=4,VLOOKUP(W88,$A$2:$AI$70,19,FALSE),0)+IF(VLOOKUP(W88,$A$2:$AI$70,6,FALSE)=4,VLOOKUP(W88,$A$2:$AI$70,20,FALSE),0)+IF(VLOOKUP(W88,$A$2:$AI$70,7,FALSE)=4,VLOOKUP(W88,$A$2:$AI$70,21,FALSE),0)+IF(VLOOKUP(W88,$A$2:$AI$70,8,FALSE)=4,VLOOKUP(W88,$A$2:$AI$70,22,FALSE),0)+IF(VLOOKUP(W88,$A$2:$AI$70,9,FALSE)=4,VLOOKUP(W88,$A$2:$AI$70,23,FALSE),0),IF(VLOOKUP(W88,$A$2:$AI$70,10,FALSE)=4,VLOOKUP(W88,$A$2:$AI$70,24,FALSE),0)+IF(VLOOKUP(W88,$A$2:$AI$70,11,FALSE)=4,VLOOKUP(W88,$A$2:$AI$70,25,FALSE),0)+IF(VLOOKUP(W88,$A$2:$AI$70,12,FALSE)=4,VLOOKUP(W88,$A$2:$AI$70,26,FALSE),0)+IF(VLOOKUP(W88,$A$2:$AI$70,13,FALSE)=4,VLOOKUP(W88,$A$2:$AI$70,27,FALSE),0)+IF(VLOOKUP(W88,$A$2:$AI$70,14,FALSE)=4,VLOOKUP(W88,$A$2:$AI$70,28,FALSE),0)+IF(VLOOKUP(W88,$A$2:$AI$70,15,FALSE)=4,VLOOKUP(W88,$A$2:$AI$70,29,FALSE),0)+IF(VLOOKUP(W88,$A$2:$AI$70,16,FALSE)=4,VLOOKUP(W88,$A$2:$AI$70,30,FALSE),0)))</f>
        <v>1</v>
      </c>
      <c r="Z88" s="1411">
        <f ca="1">IF(W88="","",COUNTIF(W$76:AC$81,W88)*Z$92)</f>
        <v>3</v>
      </c>
      <c r="AA88" s="769"/>
      <c r="AB88" s="769"/>
      <c r="AC88" s="769"/>
      <c r="AD88" s="1421" t="str">
        <f ca="1">VLOOKUP(LARGE($CG$2:$CG$70,7),$CG$2:$CH$70,2,FALSE)</f>
        <v/>
      </c>
      <c r="AE88" s="1420">
        <f ca="1">VLOOKUP(AD88,$A$1:$AI$70,17,FALSE)+VLOOKUP(AD88,$A$1:$AI$70,18,FALSE)+VLOOKUP(AD88,$A$1:$AI$70,19,FALSE)+VLOOKUP(AD88,$A$1:$AI$70,20,FALSE)+VLOOKUP(AD88,$A$1:$AI$70,21,FALSE)+VLOOKUP(AD88,$A$1:$AI$70,22,FALSE)+VLOOKUP(AD88,$A$1:$AI$70,23,FALSE)</f>
        <v>0</v>
      </c>
      <c r="AF88" s="1419" t="str">
        <f ca="1">IF(AD88="","",IF($BD$1&lt;=7,IF(VLOOKUP(AD88,$A$2:$AI$70,3,FALSE)=5,VLOOKUP(AD88,$A$2:$AI$70,17,FALSE),0)+IF(VLOOKUP(AD88,$A$2:$AI$70,4,FALSE)=5,VLOOKUP(AD88,$A$2:$AI$70,18,FALSE),0)+IF(VLOOKUP(AD88,$A$2:$AI$70,5,FALSE)=5,VLOOKUP(AD88,$A$2:$AI$70,19,FALSE),0)+IF(VLOOKUP(AD88,$A$2:$AI$70,6,FALSE)=5,VLOOKUP(AD88,$A$2:$AI$70,20,FALSE),0)+IF(VLOOKUP(AD88,$A$2:$AI$70,7,FALSE)=5,VLOOKUP(AD88,$A$2:$AI$70,21,FALSE),0)+IF(VLOOKUP(AD88,$A$2:$AI$70,8,FALSE)=5,VLOOKUP(AD88,$A$2:$AI$70,22,FALSE),0)+IF(VLOOKUP(AD88,$A$2:$AI$70,9,FALSE)=5,VLOOKUP(AD88,$A$2:$AI$70,23,FALSE),0),IF(VLOOKUP(AD88,$A$2:$AI$70,10,FALSE)=5,VLOOKUP(AD88,$A$2:$AI$70,24,FALSE),0)+IF(VLOOKUP(AD88,$A$2:$AI$70,11,FALSE)=5,VLOOKUP(AD88,$A$2:$AI$70,25,FALSE),0)+IF(VLOOKUP(AD88,$A$2:$AI$70,12,FALSE)=5,VLOOKUP(AD88,$A$2:$AI$70,26,FALSE),0)+IF(VLOOKUP(AD88,$A$2:$AI$70,13,FALSE)=5,VLOOKUP(AD88,$A$2:$AI$70,27,FALSE),0)+IF(VLOOKUP(AD88,$A$2:$AI$70,14,FALSE)=5,VLOOKUP(AD88,$A$2:$AI$70,28,FALSE),0)+IF(VLOOKUP(AD88,$A$2:$AI$70,15,FALSE)=5,VLOOKUP(AD88,$A$2:$AI$70,29,FALSE),0)+IF(VLOOKUP(AD88,$A$2:$AI$70,16,FALSE)=5,VLOOKUP(AD88,$A$2:$AI$70,30,FALSE),0)))</f>
        <v/>
      </c>
      <c r="AG88" s="1411" t="str">
        <f ca="1">IF(AD88="","",COUNTIF(AD$76:AJ$81,AD88)*AG$92)</f>
        <v/>
      </c>
      <c r="AH88" s="1413"/>
      <c r="AI88" s="769"/>
      <c r="AJ88" s="769"/>
      <c r="AK88" s="1421" t="str">
        <f ca="1">VLOOKUP(LARGE($CI$2:$CI$70,7),$CI$2:$CJ$70,2,FALSE)</f>
        <v>Zaragoza José</v>
      </c>
      <c r="AL88" s="1420">
        <f ca="1">VLOOKUP(AK88,$A$1:$AI$70,17,FALSE)+VLOOKUP(AK88,$A$1:$AI$70,18,FALSE)+VLOOKUP(AK88,$A$1:$AI$70,19,FALSE)+VLOOKUP(AK88,$A$1:$AI$70,20,FALSE)+VLOOKUP(AK88,$A$1:$AI$70,21,FALSE)+VLOOKUP(AK88,$A$1:$AI$70,22,FALSE)+VLOOKUP(AK88,$A$1:$AI$70,23,FALSE)</f>
        <v>18</v>
      </c>
      <c r="AM88" s="1419">
        <f ca="1">IF(AK88="","",IF($BD$1&lt;=7,IF(VLOOKUP(AK88,$A$2:$AI$70,3,FALSE)=6,VLOOKUP(AK88,$A$2:$AI$70,17,FALSE),0)+IF(VLOOKUP(AK88,$A$2:$AI$70,4,FALSE)=6,VLOOKUP(AK88,$A$2:$AI$70,18,FALSE),0)+IF(VLOOKUP(AK88,$A$2:$AI$70,5,FALSE)=6,VLOOKUP(AK88,$A$2:$AI$70,19,FALSE),0)+IF(VLOOKUP(AK88,$A$2:$AI$70,6,FALSE)=6,VLOOKUP(AK88,$A$2:$AI$70,20,FALSE),0)+IF(VLOOKUP(AK88,$A$2:$AI$70,7,FALSE)=6,VLOOKUP(AK88,$A$2:$AI$70,21,FALSE),0)+IF(VLOOKUP(AK88,$A$2:$AI$70,8,FALSE)=6,VLOOKUP(AK88,$A$2:$AI$70,22,FALSE),0)+IF(VLOOKUP(AK88,$A$2:$AI$70,9,FALSE)=6,VLOOKUP(AK88,$A$2:$AI$70,23,FALSE),0),IF(VLOOKUP(AK88,$A$2:$AI$70,10,FALSE)=6,VLOOKUP(AK88,$A$2:$AI$70,24,FALSE),0)+IF(VLOOKUP(AK88,$A$2:$AI$70,11,FALSE)=6,VLOOKUP(AK88,$A$2:$AI$70,25,FALSE),0)+IF(VLOOKUP(AK88,$A$2:$AI$70,12,FALSE)=6,VLOOKUP(AK88,$A$2:$AI$70,26,FALSE),0)+IF(VLOOKUP(AK88,$A$2:$AI$70,13,FALSE)=6,VLOOKUP(AK88,$A$2:$AI$70,27,FALSE),0)+IF(VLOOKUP(AK88,$A$2:$AI$70,14,FALSE)=6,VLOOKUP(AK88,$A$2:$AI$70,28,FALSE),0)+IF(VLOOKUP(AK88,$A$2:$AI$70,15,FALSE)=6,VLOOKUP(AK88,$A$2:$AI$70,29,FALSE),0)+IF(VLOOKUP(AK88,$A$2:$AI$70,16,FALSE)=6,VLOOKUP(AK88,$A$2:$AI$70,30,FALSE),0)))</f>
        <v>3</v>
      </c>
      <c r="AN88" s="1411">
        <f ca="1">IF(AK88="","",COUNTIF(AK$76:AQ$81,AK88)*AN$92)</f>
        <v>3</v>
      </c>
      <c r="AO88" s="769"/>
      <c r="AP88" s="769"/>
      <c r="AQ88" s="769"/>
      <c r="AR88" s="1421" t="str">
        <f ca="1">VLOOKUP(LARGE($CK$2:$CK$70,7),$CK$2:$CL$70,2,FALSE)</f>
        <v>Cojean Gwendal</v>
      </c>
      <c r="AS88" s="1420">
        <f ca="1">VLOOKUP(AR88,$A$1:$AI$70,17,FALSE)+VLOOKUP(AR88,$A$1:$AI$70,18,FALSE)+VLOOKUP(AR88,$A$1:$AI$70,19,FALSE)+VLOOKUP(AR88,$A$1:$AI$70,20,FALSE)+VLOOKUP(AR88,$A$1:$AI$70,21,FALSE)+VLOOKUP(AR88,$A$1:$AI$70,22,FALSE)+VLOOKUP(AR88,$A$1:$AI$70,23,FALSE)</f>
        <v>0</v>
      </c>
      <c r="AT88" s="1419">
        <f ca="1">IF(AR88="","",IF($BD$1&lt;=7,IF(VLOOKUP(AR88,$A$2:$AI$70,3,FALSE)=7,VLOOKUP(AR88,$A$2:$AI$70,17,FALSE),0)+IF(VLOOKUP(AR88,$A$2:$AI$70,4,FALSE)=7,VLOOKUP(AR88,$A$2:$AI$70,18,FALSE),0)+IF(VLOOKUP(AR88,$A$2:$AI$70,5,FALSE)=7,VLOOKUP(AR88,$A$2:$AI$70,19,FALSE),0)+IF(VLOOKUP(AR88,$A$2:$AI$70,6,FALSE)=7,VLOOKUP(AR88,$A$2:$AI$70,20,FALSE),0)+IF(VLOOKUP(AR88,$A$2:$AI$70,7,FALSE)=7,VLOOKUP(AR88,$A$2:$AI$70,21,FALSE),0)+IF(VLOOKUP(AR88,$A$2:$AI$70,8,FALSE)=7,VLOOKUP(AR88,$A$2:$AI$70,22,FALSE),0)+IF(VLOOKUP(AR88,$A$2:$AI$70,9,FALSE)=7,VLOOKUP(AR88,$A$2:$AI$70,23,FALSE),0),IF(VLOOKUP(AR88,$A$2:$AI$70,10,FALSE)=7,VLOOKUP(AR88,$A$2:$AI$70,24,FALSE),0)+IF(VLOOKUP(AR88,$A$2:$AI$70,11,FALSE)=7,VLOOKUP(AR88,$A$2:$AI$70,25,FALSE),0)+IF(VLOOKUP(AR88,$A$2:$AI$70,12,FALSE)=7,VLOOKUP(AR88,$A$2:$AI$70,26,FALSE),0)+IF(VLOOKUP(AR88,$A$2:$AI$70,13,FALSE)=7,VLOOKUP(AR88,$A$2:$AI$70,27,FALSE),0)+IF(VLOOKUP(AR88,$A$2:$AI$70,14,FALSE)=7,VLOOKUP(AR88,$A$2:$AI$70,28,FALSE),0)+IF(VLOOKUP(AR88,$A$2:$AI$70,15,FALSE)=7,VLOOKUP(AR88,$A$2:$AI$70,29,FALSE),0)+IF(VLOOKUP(AR88,$A$2:$AI$70,16,FALSE)=7,VLOOKUP(AR88,$A$2:$AI$70,30,FALSE),0)))</f>
        <v>0</v>
      </c>
      <c r="AU88" s="1411">
        <f ca="1">IF(AR88="","",COUNTIF(AR$76:AX$81,AR88)*AU$92)</f>
        <v>3</v>
      </c>
      <c r="AV88" s="769"/>
      <c r="AW88" s="769"/>
      <c r="AX88" s="1414"/>
      <c r="AY88" s="1588" t="str">
        <f ca="1">VLOOKUP(LARGE($CM$2:$CM$70,7),$CM$2:$CN$70,2,FALSE)</f>
        <v/>
      </c>
      <c r="AZ88" s="1584">
        <f ca="1">VLOOKUP(AY88,$A$1:$AI$70,17,FALSE)+VLOOKUP(AY88,$A$1:$AI$70,18,FALSE)+VLOOKUP(AY88,$A$1:$AI$70,19,FALSE)+VLOOKUP(AY88,$A$1:$AI$70,20,FALSE)+VLOOKUP(AY88,$A$1:$AI$70,21,FALSE)+VLOOKUP(AY88,$A$1:$AI$70,22,FALSE)+VLOOKUP(AY88,$A$1:$AI$70,23,FALSE)</f>
        <v>0</v>
      </c>
      <c r="BA88" s="1419" t="str">
        <f ca="1">IF(AY88="","",IF($BD$1&lt;=7,IF(VLOOKUP(AY88,$A$2:$AI$70,3,FALSE)=8,VLOOKUP(AY88,$A$2:$AI$70,17,FALSE),0)+IF(VLOOKUP(AY88,$A$2:$AI$70,4,FALSE)=8,VLOOKUP(AY88,$A$2:$AI$70,18,FALSE),0)+IF(VLOOKUP(AY88,$A$2:$AI$70,5,FALSE)=8,VLOOKUP(AY88,$A$2:$AI$70,19,FALSE),0)+IF(VLOOKUP(AY88,$A$2:$AI$70,6,FALSE)=8,VLOOKUP(AY88,$A$2:$AI$70,20,FALSE),0)+IF(VLOOKUP(AY88,$A$2:$AI$70,7,FALSE)=8,VLOOKUP(AY88,$A$2:$AI$70,21,FALSE),0)+IF(VLOOKUP(AY88,$A$2:$AI$70,8,FALSE)=8,VLOOKUP(AY88,$A$2:$AI$70,22,FALSE),0)+IF(VLOOKUP(AY88,$A$2:$AI$70,9,FALSE)=8,VLOOKUP(AY88,$A$2:$AI$70,23,FALSE),0),IF(VLOOKUP(AY88,$A$2:$AI$70,10,FALSE)=8,VLOOKUP(AY88,$A$2:$AI$70,24,FALSE),0)+IF(VLOOKUP(AY88,$A$2:$AI$70,11,FALSE)=8,VLOOKUP(AY88,$A$2:$AI$70,25,FALSE),0)+IF(VLOOKUP(AY88,$A$2:$AI$70,12,FALSE)=8,VLOOKUP(AY88,$A$2:$AI$70,26,FALSE),0)+IF(VLOOKUP(AY88,$A$2:$AI$70,13,FALSE)=8,VLOOKUP(AY88,$A$2:$AI$70,27,FALSE),0)+IF(VLOOKUP(AY88,$A$2:$AI$70,14,FALSE)=8,VLOOKUP(AY88,$A$2:$AI$70,28,FALSE),0)+IF(VLOOKUP(AY88,$A$2:$AI$70,15,FALSE)=8,VLOOKUP(AY88,$A$2:$AI$70,29,FALSE),0)+IF(VLOOKUP(AY88,$A$2:$AI$70,16,FALSE)=8,VLOOKUP(AY88,$A$2:$AI$70,30,FALSE),0)))</f>
        <v/>
      </c>
      <c r="BB88" s="1411" t="str">
        <f ca="1">IF(AY88="","",COUNTIF(AY$76:BE$81,AY88)*BB$92)</f>
        <v/>
      </c>
      <c r="BC88" s="769"/>
      <c r="BD88" s="769"/>
      <c r="BE88" s="769"/>
      <c r="BF88" s="769"/>
      <c r="BG88" s="769"/>
      <c r="BH88" s="769"/>
      <c r="BI88" s="769"/>
      <c r="BJ88" s="769"/>
      <c r="BK88" s="769"/>
      <c r="BL88" s="769"/>
      <c r="BM88" s="769"/>
      <c r="BN88" s="769"/>
      <c r="BO88" s="769"/>
      <c r="BP88" s="769"/>
      <c r="BQ88" s="769"/>
      <c r="BR88" s="769"/>
      <c r="BS88" s="769"/>
      <c r="BT88" s="769"/>
      <c r="BU88" s="769"/>
      <c r="BV88" s="1415"/>
      <c r="BW88" s="1415"/>
      <c r="BX88" s="1415"/>
      <c r="BY88" s="1415"/>
      <c r="BZ88" s="1415"/>
      <c r="CA88" s="1415"/>
      <c r="CB88" s="1415"/>
      <c r="CC88" s="1415"/>
      <c r="CD88" s="1415"/>
      <c r="CE88" s="1415"/>
      <c r="CF88" s="1415"/>
      <c r="CG88" s="1415"/>
      <c r="CH88" s="1415"/>
      <c r="CI88" s="1415"/>
      <c r="CJ88" s="1415"/>
      <c r="CK88" s="1415"/>
      <c r="CL88" s="1415"/>
      <c r="CM88" s="1415"/>
      <c r="CN88" s="1415"/>
      <c r="CO88" s="1406"/>
      <c r="CP88" s="81"/>
      <c r="CQ88" s="81"/>
      <c r="DC88" s="1403"/>
      <c r="DD88" s="1405"/>
      <c r="DF88" s="1404"/>
      <c r="DH88" s="86"/>
      <c r="DI88" s="86"/>
      <c r="DK88"/>
      <c r="DL88" s="769"/>
      <c r="DM88" s="554"/>
      <c r="DN88" s="554"/>
      <c r="DO88" s="1401"/>
      <c r="DP88" s="1400"/>
      <c r="DQ88"/>
      <c r="DR88"/>
    </row>
    <row r="89" spans="1:122" ht="15.75">
      <c r="B89" s="1421" t="str">
        <f ca="1">VLOOKUP(LARGE($BY$2:$BY$70,8),$BY$2:$BZ$70,2,FALSE)</f>
        <v>Roszak Clément</v>
      </c>
      <c r="C89" s="1420">
        <f ca="1">VLOOKUP(B89,$A$1:$AI$70,17,FALSE)+VLOOKUP(B89,$A$1:$AI$70,18,FALSE)+VLOOKUP(B89,$A$1:$AI$70,19,FALSE)+VLOOKUP(B89,$A$1:$AI$70,20,FALSE)+VLOOKUP(B89,$A$1:$AI$70,21,FALSE)+VLOOKUP(B89,$A$1:$AI$70,22,FALSE)+VLOOKUP(B89,$A$1:$AI$70,23,FALSE)</f>
        <v>11</v>
      </c>
      <c r="D89" s="1419">
        <f ca="1">IF(B89="","",IF($BD$1&lt;=7,IF(VLOOKUP(B89,$A$2:$AI$70,3,FALSE)=1,VLOOKUP(B89,$A$2:$AI$70,17,FALSE),0)+IF(VLOOKUP(B89,$A$2:$AI$70,4,FALSE)=1,VLOOKUP(B89,$A$2:$AI$70,18,FALSE),0)+IF(VLOOKUP(B89,$A$2:$AI$70,5,FALSE)=1,VLOOKUP(B89,$A$2:$AI$70,19,FALSE),0)+IF(VLOOKUP(B89,$A$2:$AI$70,6,FALSE)=1,VLOOKUP(B89,$A$2:$AI$70,20,FALSE),0)+IF(VLOOKUP(B89,$A$2:$AI$70,7,FALSE)=1,VLOOKUP(B89,$A$2:$AI$70,21,FALSE),0)+IF(VLOOKUP(B89,$A$2:$AI$70,8,FALSE)=1,VLOOKUP(B89,$A$2:$AI$70,22,FALSE),0)+IF(VLOOKUP(B89,$A$2:$AI$70,9,FALSE)=1,VLOOKUP(B89,$A$2:$AI$70,23,FALSE),0),IF(VLOOKUP(B89,$A$2:$AI$70,10,FALSE)=1,VLOOKUP(B89,$A$2:$AI$70,24,FALSE),0)+IF(VLOOKUP(B89,$A$2:$AI$70,11,FALSE)=1,VLOOKUP(B89,$A$2:$AI$70,25,FALSE),0)+IF(VLOOKUP(B89,$A$2:$AI$70,12,FALSE)=1,VLOOKUP(B89,$A$2:$AI$70,26,FALSE),0)+IF(VLOOKUP(B89,$A$2:$AI$70,13,FALSE)=1,VLOOKUP(B89,$A$2:$AI$70,27,FALSE),0)+IF(VLOOKUP(B89,$A$2:$AI$70,14,FALSE)=1,VLOOKUP(B89,$A$2:$AI$70,28,FALSE),0)+IF(VLOOKUP(B89,$A$2:$AI$70,15,FALSE)=1,VLOOKUP(B89,$A$2:$AI$70,29,FALSE),0)+IF(VLOOKUP(B89,$A$2:$AI$70,16,FALSE)=1,VLOOKUP(B89,$A$2:$AI$70,30,FALSE),0)))</f>
        <v>2</v>
      </c>
      <c r="E89" s="1411">
        <f ca="1">IF(B89="","",COUNTIF(B$76:H$81,B89)*E$92)</f>
        <v>3</v>
      </c>
      <c r="F89" s="769"/>
      <c r="G89" s="769"/>
      <c r="H89" s="769"/>
      <c r="I89" s="1421" t="str">
        <f ca="1">VLOOKUP(LARGE($CA$2:$CA$70,8),$CA$2:$CB$70,2,FALSE)</f>
        <v>Couture Christophe</v>
      </c>
      <c r="J89" s="1420">
        <f ca="1">VLOOKUP(I89,$A$1:$AI$70,17,FALSE)+VLOOKUP(I89,$A$1:$AI$70,18,FALSE)+VLOOKUP(I89,$A$1:$AI$70,19,FALSE)+VLOOKUP(I89,$A$1:$AI$70,20,FALSE)+VLOOKUP(I89,$A$1:$AI$70,21,FALSE)+VLOOKUP(I89,$A$1:$AI$70,22,FALSE)+VLOOKUP(I89,$A$1:$AI$70,23,FALSE)</f>
        <v>6</v>
      </c>
      <c r="K89" s="1419">
        <f ca="1">IF(I89="","",IF($BD$1&lt;=7,IF(VLOOKUP(I89,$A$2:$AI$70,3,FALSE)=2,VLOOKUP(I89,$A$2:$AI$70,17,FALSE),0)+IF(VLOOKUP(I89,$A$2:$AI$70,4,FALSE)=2,VLOOKUP(I89,$A$2:$AI$70,18,FALSE),0)+IF(VLOOKUP(I89,$A$2:$AI$70,5,FALSE)=2,VLOOKUP(I89,$A$2:$AI$70,19,FALSE),0)+IF(VLOOKUP(I89,$A$2:$AI$70,6,FALSE)=2,VLOOKUP(I89,$A$2:$AI$70,20,FALSE),0)+IF(VLOOKUP(I89,$A$2:$AI$70,7,FALSE)=2,VLOOKUP(I89,$A$2:$AI$70,21,FALSE),0)+IF(VLOOKUP(I89,$A$2:$AI$70,8,FALSE)=2,VLOOKUP(I89,$A$2:$AI$70,22,FALSE),0)+IF(VLOOKUP(I89,$A$2:$AI$70,9,FALSE)=2,VLOOKUP(I89,$A$2:$AI$70,23,FALSE),0),IF(VLOOKUP(I89,$A$2:$AI$70,10,FALSE)=2,VLOOKUP(I89,$A$2:$AI$70,24,FALSE),0)+IF(VLOOKUP(I89,$A$2:$AI$70,11,FALSE)=2,VLOOKUP(I89,$A$2:$AI$70,25,FALSE),0)+IF(VLOOKUP(I89,$A$2:$AI$70,12,FALSE)=2,VLOOKUP(I89,$A$2:$AI$70,26,FALSE),0)+IF(VLOOKUP(I89,$A$2:$AI$70,13,FALSE)=2,VLOOKUP(I89,$A$2:$AI$70,27,FALSE),0)+IF(VLOOKUP(I89,$A$2:$AI$70,14,FALSE)=2,VLOOKUP(I89,$A$2:$AI$70,28,FALSE),0)+IF(VLOOKUP(I89,$A$2:$AI$70,15,FALSE)=2,VLOOKUP(I89,$A$2:$AI$70,29,FALSE),0)+IF(VLOOKUP(I89,$A$2:$AI$70,16,FALSE)=2,VLOOKUP(I89,$A$2:$AI$70,30,FALSE),0)))</f>
        <v>0</v>
      </c>
      <c r="L89" s="1411">
        <f ca="1">IF(I89="","",COUNTIF(I$76:O$81,I89)*L$92)</f>
        <v>3</v>
      </c>
      <c r="M89" s="769"/>
      <c r="N89" s="769"/>
      <c r="O89" s="769"/>
      <c r="P89" s="1421" t="str">
        <f ca="1">VLOOKUP(LARGE($CC$2:$CC$70,8),$CC$2:$CD$70,2,FALSE)</f>
        <v/>
      </c>
      <c r="Q89" s="1420">
        <f ca="1">VLOOKUP(P89,$A$1:$AI$70,17,FALSE)+VLOOKUP(P89,$A$1:$AI$70,18,FALSE)+VLOOKUP(P89,$A$1:$AI$70,19,FALSE)+VLOOKUP(P89,$A$1:$AI$70,20,FALSE)+VLOOKUP(P89,$A$1:$AI$70,21,FALSE)+VLOOKUP(P89,$A$1:$AI$70,22,FALSE)+VLOOKUP(P89,$A$1:$AI$70,23,FALSE)</f>
        <v>0</v>
      </c>
      <c r="R89" s="1419" t="str">
        <f ca="1">IF(P89="","",IF($BD$1&lt;=7,IF(VLOOKUP(P89,$A$2:$AI$70,3,FALSE)=3,VLOOKUP(P89,$A$2:$AI$70,17,FALSE),0)+IF(VLOOKUP(P89,$A$2:$AI$70,4,FALSE)=3,VLOOKUP(P89,$A$2:$AI$70,18,FALSE),0)+IF(VLOOKUP(P89,$A$2:$AI$70,5,FALSE)=3,VLOOKUP(P89,$A$2:$AI$70,19,FALSE),0)+IF(VLOOKUP(P89,$A$2:$AI$70,6,FALSE)=3,VLOOKUP(P89,$A$2:$AI$70,20,FALSE),0)+IF(VLOOKUP(P89,$A$2:$AI$70,7,FALSE)=3,VLOOKUP(P89,$A$2:$AI$70,21,FALSE),0)+IF(VLOOKUP(P89,$A$2:$AI$70,8,FALSE)=3,VLOOKUP(P89,$A$2:$AI$70,22,FALSE),0)+IF(VLOOKUP(P89,$A$2:$AI$70,9,FALSE)=3,VLOOKUP(P89,$A$2:$AI$70,23,FALSE),0),IF(VLOOKUP(P89,$A$2:$AI$70,10,FALSE)=3,VLOOKUP(P89,$A$2:$AI$70,24,FALSE),0)+IF(VLOOKUP(P89,$A$2:$AI$70,11,FALSE)=3,VLOOKUP(P89,$A$2:$AI$70,25,FALSE),0)+IF(VLOOKUP(P89,$A$2:$AI$70,12,FALSE)=3,VLOOKUP(P89,$A$2:$AI$70,26,FALSE),0)+IF(VLOOKUP(P89,$A$2:$AI$70,13,FALSE)=3,VLOOKUP(P89,$A$2:$AI$70,27,FALSE),0)+IF(VLOOKUP(P89,$A$2:$AI$70,14,FALSE)=3,VLOOKUP(P89,$A$2:$AI$70,28,FALSE),0)+IF(VLOOKUP(P89,$A$2:$AI$70,15,FALSE)=3,VLOOKUP(P89,$A$2:$AI$70,29,FALSE),0)+IF(VLOOKUP(P89,$A$2:$AI$70,16,FALSE)=3,VLOOKUP(P89,$A$2:$AI$70,30,FALSE),0)))</f>
        <v/>
      </c>
      <c r="S89" s="1411" t="str">
        <f ca="1">IF(P89="","",COUNTIF(P$76:V$81,P89)*S$92)</f>
        <v/>
      </c>
      <c r="T89" s="769"/>
      <c r="U89" s="769"/>
      <c r="V89" s="769"/>
      <c r="W89" s="1421" t="str">
        <f ca="1">VLOOKUP(LARGE($CE$2:$CE$70,8),$CE$2:$CF$70,2,FALSE)</f>
        <v/>
      </c>
      <c r="X89" s="1420">
        <f ca="1">VLOOKUP(W89,$A$1:$AI$70,17,FALSE)+VLOOKUP(W89,$A$1:$AI$70,18,FALSE)+VLOOKUP(W89,$A$1:$AI$70,19,FALSE)+VLOOKUP(W89,$A$1:$AI$70,20,FALSE)+VLOOKUP(W89,$A$1:$AI$70,21,FALSE)+VLOOKUP(W89,$A$1:$AI$70,22,FALSE)+VLOOKUP(W89,$A$1:$AI$70,23,FALSE)</f>
        <v>0</v>
      </c>
      <c r="Y89" s="1419" t="str">
        <f ca="1">IF(W89="","",IF($BD$1&lt;=7,IF(VLOOKUP(W89,$A$2:$AI$70,3,FALSE)=4,VLOOKUP(W89,$A$2:$AI$70,17,FALSE),0)+IF(VLOOKUP(W89,$A$2:$AI$70,4,FALSE)=4,VLOOKUP(W89,$A$2:$AI$70,18,FALSE),0)+IF(VLOOKUP(W89,$A$2:$AI$70,5,FALSE)=4,VLOOKUP(W89,$A$2:$AI$70,19,FALSE),0)+IF(VLOOKUP(W89,$A$2:$AI$70,6,FALSE)=4,VLOOKUP(W89,$A$2:$AI$70,20,FALSE),0)+IF(VLOOKUP(W89,$A$2:$AI$70,7,FALSE)=4,VLOOKUP(W89,$A$2:$AI$70,21,FALSE),0)+IF(VLOOKUP(W89,$A$2:$AI$70,8,FALSE)=4,VLOOKUP(W89,$A$2:$AI$70,22,FALSE),0)+IF(VLOOKUP(W89,$A$2:$AI$70,9,FALSE)=4,VLOOKUP(W89,$A$2:$AI$70,23,FALSE),0),IF(VLOOKUP(W89,$A$2:$AI$70,10,FALSE)=4,VLOOKUP(W89,$A$2:$AI$70,24,FALSE),0)+IF(VLOOKUP(W89,$A$2:$AI$70,11,FALSE)=4,VLOOKUP(W89,$A$2:$AI$70,25,FALSE),0)+IF(VLOOKUP(W89,$A$2:$AI$70,12,FALSE)=4,VLOOKUP(W89,$A$2:$AI$70,26,FALSE),0)+IF(VLOOKUP(W89,$A$2:$AI$70,13,FALSE)=4,VLOOKUP(W89,$A$2:$AI$70,27,FALSE),0)+IF(VLOOKUP(W89,$A$2:$AI$70,14,FALSE)=4,VLOOKUP(W89,$A$2:$AI$70,28,FALSE),0)+IF(VLOOKUP(W89,$A$2:$AI$70,15,FALSE)=4,VLOOKUP(W89,$A$2:$AI$70,29,FALSE),0)+IF(VLOOKUP(W89,$A$2:$AI$70,16,FALSE)=4,VLOOKUP(W89,$A$2:$AI$70,30,FALSE),0)))</f>
        <v/>
      </c>
      <c r="Z89" s="1411" t="str">
        <f ca="1">IF(W89="","",COUNTIF(W$76:AC$81,W89)*Z$92)</f>
        <v/>
      </c>
      <c r="AA89" s="769"/>
      <c r="AB89" s="769"/>
      <c r="AC89" s="769"/>
      <c r="AD89" s="1421" t="str">
        <f ca="1">VLOOKUP(LARGE($CG$2:$CG$70,8),$CG$2:$CH$70,2,FALSE)</f>
        <v/>
      </c>
      <c r="AE89" s="1420">
        <f ca="1">VLOOKUP(AD89,$A$1:$AI$70,17,FALSE)+VLOOKUP(AD89,$A$1:$AI$70,18,FALSE)+VLOOKUP(AD89,$A$1:$AI$70,19,FALSE)+VLOOKUP(AD89,$A$1:$AI$70,20,FALSE)+VLOOKUP(AD89,$A$1:$AI$70,21,FALSE)+VLOOKUP(AD89,$A$1:$AI$70,22,FALSE)+VLOOKUP(AD89,$A$1:$AI$70,23,FALSE)</f>
        <v>0</v>
      </c>
      <c r="AF89" s="1419" t="str">
        <f ca="1">IF(AD89="","",IF($BD$1&lt;=7,IF(VLOOKUP(AD89,$A$2:$AI$70,3,FALSE)=5,VLOOKUP(AD89,$A$2:$AI$70,17,FALSE),0)+IF(VLOOKUP(AD89,$A$2:$AI$70,4,FALSE)=5,VLOOKUP(AD89,$A$2:$AI$70,18,FALSE),0)+IF(VLOOKUP(AD89,$A$2:$AI$70,5,FALSE)=5,VLOOKUP(AD89,$A$2:$AI$70,19,FALSE),0)+IF(VLOOKUP(AD89,$A$2:$AI$70,6,FALSE)=5,VLOOKUP(AD89,$A$2:$AI$70,20,FALSE),0)+IF(VLOOKUP(AD89,$A$2:$AI$70,7,FALSE)=5,VLOOKUP(AD89,$A$2:$AI$70,21,FALSE),0)+IF(VLOOKUP(AD89,$A$2:$AI$70,8,FALSE)=5,VLOOKUP(AD89,$A$2:$AI$70,22,FALSE),0)+IF(VLOOKUP(AD89,$A$2:$AI$70,9,FALSE)=5,VLOOKUP(AD89,$A$2:$AI$70,23,FALSE),0),IF(VLOOKUP(AD89,$A$2:$AI$70,10,FALSE)=5,VLOOKUP(AD89,$A$2:$AI$70,24,FALSE),0)+IF(VLOOKUP(AD89,$A$2:$AI$70,11,FALSE)=5,VLOOKUP(AD89,$A$2:$AI$70,25,FALSE),0)+IF(VLOOKUP(AD89,$A$2:$AI$70,12,FALSE)=5,VLOOKUP(AD89,$A$2:$AI$70,26,FALSE),0)+IF(VLOOKUP(AD89,$A$2:$AI$70,13,FALSE)=5,VLOOKUP(AD89,$A$2:$AI$70,27,FALSE),0)+IF(VLOOKUP(AD89,$A$2:$AI$70,14,FALSE)=5,VLOOKUP(AD89,$A$2:$AI$70,28,FALSE),0)+IF(VLOOKUP(AD89,$A$2:$AI$70,15,FALSE)=5,VLOOKUP(AD89,$A$2:$AI$70,29,FALSE),0)+IF(VLOOKUP(AD89,$A$2:$AI$70,16,FALSE)=5,VLOOKUP(AD89,$A$2:$AI$70,30,FALSE),0)))</f>
        <v/>
      </c>
      <c r="AG89" s="1411" t="str">
        <f ca="1">IF(AD89="","",COUNTIF(AD$76:AJ$81,AD89)*AG$92)</f>
        <v/>
      </c>
      <c r="AH89" s="1413"/>
      <c r="AI89" s="769"/>
      <c r="AJ89" s="769"/>
      <c r="AK89" s="1421" t="str">
        <f ca="1">VLOOKUP(LARGE($CI$2:$CI$70,8),$CI$2:$CJ$70,2,FALSE)</f>
        <v/>
      </c>
      <c r="AL89" s="1420">
        <f ca="1">VLOOKUP(AK89,$A$1:$AI$70,17,FALSE)+VLOOKUP(AK89,$A$1:$AI$70,18,FALSE)+VLOOKUP(AK89,$A$1:$AI$70,19,FALSE)+VLOOKUP(AK89,$A$1:$AI$70,20,FALSE)+VLOOKUP(AK89,$A$1:$AI$70,21,FALSE)+VLOOKUP(AK89,$A$1:$AI$70,22,FALSE)+VLOOKUP(AK89,$A$1:$AI$70,23,FALSE)</f>
        <v>0</v>
      </c>
      <c r="AM89" s="1419" t="str">
        <f ca="1">IF(AK89="","",IF($BD$1&lt;=7,IF(VLOOKUP(AK89,$A$2:$AI$70,3,FALSE)=6,VLOOKUP(AK89,$A$2:$AI$70,17,FALSE),0)+IF(VLOOKUP(AK89,$A$2:$AI$70,4,FALSE)=6,VLOOKUP(AK89,$A$2:$AI$70,18,FALSE),0)+IF(VLOOKUP(AK89,$A$2:$AI$70,5,FALSE)=6,VLOOKUP(AK89,$A$2:$AI$70,19,FALSE),0)+IF(VLOOKUP(AK89,$A$2:$AI$70,6,FALSE)=6,VLOOKUP(AK89,$A$2:$AI$70,20,FALSE),0)+IF(VLOOKUP(AK89,$A$2:$AI$70,7,FALSE)=6,VLOOKUP(AK89,$A$2:$AI$70,21,FALSE),0)+IF(VLOOKUP(AK89,$A$2:$AI$70,8,FALSE)=6,VLOOKUP(AK89,$A$2:$AI$70,22,FALSE),0)+IF(VLOOKUP(AK89,$A$2:$AI$70,9,FALSE)=6,VLOOKUP(AK89,$A$2:$AI$70,23,FALSE),0),IF(VLOOKUP(AK89,$A$2:$AI$70,10,FALSE)=6,VLOOKUP(AK89,$A$2:$AI$70,24,FALSE),0)+IF(VLOOKUP(AK89,$A$2:$AI$70,11,FALSE)=6,VLOOKUP(AK89,$A$2:$AI$70,25,FALSE),0)+IF(VLOOKUP(AK89,$A$2:$AI$70,12,FALSE)=6,VLOOKUP(AK89,$A$2:$AI$70,26,FALSE),0)+IF(VLOOKUP(AK89,$A$2:$AI$70,13,FALSE)=6,VLOOKUP(AK89,$A$2:$AI$70,27,FALSE),0)+IF(VLOOKUP(AK89,$A$2:$AI$70,14,FALSE)=6,VLOOKUP(AK89,$A$2:$AI$70,28,FALSE),0)+IF(VLOOKUP(AK89,$A$2:$AI$70,15,FALSE)=6,VLOOKUP(AK89,$A$2:$AI$70,29,FALSE),0)+IF(VLOOKUP(AK89,$A$2:$AI$70,16,FALSE)=6,VLOOKUP(AK89,$A$2:$AI$70,30,FALSE),0)))</f>
        <v/>
      </c>
      <c r="AN89" s="1411" t="str">
        <f ca="1">IF(AK89="","",COUNTIF(AK$76:AQ$81,AK89)*AN$92)</f>
        <v/>
      </c>
      <c r="AO89" s="769"/>
      <c r="AP89" s="769"/>
      <c r="AQ89" s="769"/>
      <c r="AR89" s="1421" t="str">
        <f ca="1">VLOOKUP(LARGE($CK$2:$CK$70,8),$CK$2:$CL$70,2,FALSE)</f>
        <v>Ayoul-Bellot Thais</v>
      </c>
      <c r="AS89" s="1420">
        <f ca="1">VLOOKUP(AR89,$A$1:$AI$70,17,FALSE)+VLOOKUP(AR89,$A$1:$AI$70,18,FALSE)+VLOOKUP(AR89,$A$1:$AI$70,19,FALSE)+VLOOKUP(AR89,$A$1:$AI$70,20,FALSE)+VLOOKUP(AR89,$A$1:$AI$70,21,FALSE)+VLOOKUP(AR89,$A$1:$AI$70,22,FALSE)+VLOOKUP(AR89,$A$1:$AI$70,23,FALSE)</f>
        <v>0</v>
      </c>
      <c r="AT89" s="1419">
        <f ca="1">IF(AR89="","",IF($BD$1&lt;=7,IF(VLOOKUP(AR89,$A$2:$AI$70,3,FALSE)=7,VLOOKUP(AR89,$A$2:$AI$70,17,FALSE),0)+IF(VLOOKUP(AR89,$A$2:$AI$70,4,FALSE)=7,VLOOKUP(AR89,$A$2:$AI$70,18,FALSE),0)+IF(VLOOKUP(AR89,$A$2:$AI$70,5,FALSE)=7,VLOOKUP(AR89,$A$2:$AI$70,19,FALSE),0)+IF(VLOOKUP(AR89,$A$2:$AI$70,6,FALSE)=7,VLOOKUP(AR89,$A$2:$AI$70,20,FALSE),0)+IF(VLOOKUP(AR89,$A$2:$AI$70,7,FALSE)=7,VLOOKUP(AR89,$A$2:$AI$70,21,FALSE),0)+IF(VLOOKUP(AR89,$A$2:$AI$70,8,FALSE)=7,VLOOKUP(AR89,$A$2:$AI$70,22,FALSE),0)+IF(VLOOKUP(AR89,$A$2:$AI$70,9,FALSE)=7,VLOOKUP(AR89,$A$2:$AI$70,23,FALSE),0),IF(VLOOKUP(AR89,$A$2:$AI$70,10,FALSE)=7,VLOOKUP(AR89,$A$2:$AI$70,24,FALSE),0)+IF(VLOOKUP(AR89,$A$2:$AI$70,11,FALSE)=7,VLOOKUP(AR89,$A$2:$AI$70,25,FALSE),0)+IF(VLOOKUP(AR89,$A$2:$AI$70,12,FALSE)=7,VLOOKUP(AR89,$A$2:$AI$70,26,FALSE),0)+IF(VLOOKUP(AR89,$A$2:$AI$70,13,FALSE)=7,VLOOKUP(AR89,$A$2:$AI$70,27,FALSE),0)+IF(VLOOKUP(AR89,$A$2:$AI$70,14,FALSE)=7,VLOOKUP(AR89,$A$2:$AI$70,28,FALSE),0)+IF(VLOOKUP(AR89,$A$2:$AI$70,15,FALSE)=7,VLOOKUP(AR89,$A$2:$AI$70,29,FALSE),0)+IF(VLOOKUP(AR89,$A$2:$AI$70,16,FALSE)=7,VLOOKUP(AR89,$A$2:$AI$70,30,FALSE),0)))</f>
        <v>0</v>
      </c>
      <c r="AU89" s="1411">
        <f ca="1">IF(AR89="","",COUNTIF(AR$76:AX$81,AR89)*AU$92)</f>
        <v>3</v>
      </c>
      <c r="AV89" s="769"/>
      <c r="AW89" s="769"/>
      <c r="AX89" s="1414"/>
      <c r="AY89" s="1588" t="str">
        <f ca="1">VLOOKUP(LARGE($CM$2:$CM$70,8),$CM$2:$CN$70,2,FALSE)</f>
        <v/>
      </c>
      <c r="AZ89" s="1584">
        <f ca="1">VLOOKUP(AY89,$A$1:$AI$70,17,FALSE)+VLOOKUP(AY89,$A$1:$AI$70,18,FALSE)+VLOOKUP(AY89,$A$1:$AI$70,19,FALSE)+VLOOKUP(AY89,$A$1:$AI$70,20,FALSE)+VLOOKUP(AY89,$A$1:$AI$70,21,FALSE)+VLOOKUP(AY89,$A$1:$AI$70,22,FALSE)+VLOOKUP(AY89,$A$1:$AI$70,23,FALSE)</f>
        <v>0</v>
      </c>
      <c r="BA89" s="1419" t="str">
        <f ca="1">IF(AY89="","",IF($BD$1&lt;=7,IF(VLOOKUP(AY89,$A$2:$AI$70,3,FALSE)=8,VLOOKUP(AY89,$A$2:$AI$70,17,FALSE),0)+IF(VLOOKUP(AY89,$A$2:$AI$70,4,FALSE)=8,VLOOKUP(AY89,$A$2:$AI$70,18,FALSE),0)+IF(VLOOKUP(AY89,$A$2:$AI$70,5,FALSE)=8,VLOOKUP(AY89,$A$2:$AI$70,19,FALSE),0)+IF(VLOOKUP(AY89,$A$2:$AI$70,6,FALSE)=8,VLOOKUP(AY89,$A$2:$AI$70,20,FALSE),0)+IF(VLOOKUP(AY89,$A$2:$AI$70,7,FALSE)=8,VLOOKUP(AY89,$A$2:$AI$70,21,FALSE),0)+IF(VLOOKUP(AY89,$A$2:$AI$70,8,FALSE)=8,VLOOKUP(AY89,$A$2:$AI$70,22,FALSE),0)+IF(VLOOKUP(AY89,$A$2:$AI$70,9,FALSE)=8,VLOOKUP(AY89,$A$2:$AI$70,23,FALSE),0),IF(VLOOKUP(AY89,$A$2:$AI$70,10,FALSE)=8,VLOOKUP(AY89,$A$2:$AI$70,24,FALSE),0)+IF(VLOOKUP(AY89,$A$2:$AI$70,11,FALSE)=8,VLOOKUP(AY89,$A$2:$AI$70,25,FALSE),0)+IF(VLOOKUP(AY89,$A$2:$AI$70,12,FALSE)=8,VLOOKUP(AY89,$A$2:$AI$70,26,FALSE),0)+IF(VLOOKUP(AY89,$A$2:$AI$70,13,FALSE)=8,VLOOKUP(AY89,$A$2:$AI$70,27,FALSE),0)+IF(VLOOKUP(AY89,$A$2:$AI$70,14,FALSE)=8,VLOOKUP(AY89,$A$2:$AI$70,28,FALSE),0)+IF(VLOOKUP(AY89,$A$2:$AI$70,15,FALSE)=8,VLOOKUP(AY89,$A$2:$AI$70,29,FALSE),0)+IF(VLOOKUP(AY89,$A$2:$AI$70,16,FALSE)=8,VLOOKUP(AY89,$A$2:$AI$70,30,FALSE),0)))</f>
        <v/>
      </c>
      <c r="BB89" s="1411" t="str">
        <f ca="1">IF(AY89="","",COUNTIF(AY$76:BE$81,AY89)*BB$92)</f>
        <v/>
      </c>
      <c r="BC89" s="769"/>
      <c r="BD89" s="769"/>
      <c r="BE89" s="769"/>
      <c r="BF89" s="769"/>
      <c r="BG89" s="769"/>
      <c r="BH89" s="769"/>
      <c r="BI89" s="769"/>
      <c r="BJ89" s="769"/>
      <c r="BK89" s="769"/>
      <c r="BL89" s="769"/>
      <c r="BM89" s="769"/>
      <c r="BN89" s="769"/>
      <c r="BO89" s="769"/>
      <c r="BP89" s="769"/>
      <c r="BQ89" s="769"/>
      <c r="BR89" s="769"/>
      <c r="BS89" s="769"/>
      <c r="BT89" s="769"/>
      <c r="BU89" s="769"/>
      <c r="BV89" s="1415"/>
      <c r="BW89" s="1415"/>
      <c r="BX89" s="1415"/>
      <c r="BY89" s="1415"/>
      <c r="BZ89" s="1415"/>
      <c r="CA89" s="1415"/>
      <c r="CB89" s="1415"/>
      <c r="CC89" s="1415"/>
      <c r="CD89" s="1415"/>
      <c r="CE89" s="1415"/>
      <c r="CF89" s="1415"/>
      <c r="CG89" s="1415"/>
      <c r="CH89" s="1415"/>
      <c r="CI89" s="1415"/>
      <c r="CJ89" s="1415"/>
      <c r="CK89" s="1415"/>
      <c r="CL89" s="1415"/>
      <c r="CM89" s="1415"/>
      <c r="CN89" s="1415"/>
      <c r="CO89" s="1406"/>
      <c r="CP89" s="81"/>
      <c r="CQ89" s="81"/>
      <c r="DC89" s="1403"/>
      <c r="DD89" s="1405"/>
      <c r="DF89" s="1404"/>
      <c r="DH89" s="86"/>
      <c r="DI89" s="86"/>
      <c r="DK89"/>
      <c r="DL89" s="769"/>
      <c r="DM89" s="554"/>
      <c r="DN89" s="554"/>
      <c r="DO89" s="1401"/>
      <c r="DP89" s="1400"/>
      <c r="DQ89"/>
      <c r="DR89"/>
    </row>
    <row r="90" spans="1:122" ht="15.75">
      <c r="B90" s="1421" t="str">
        <f ca="1">VLOOKUP(LARGE($BY$2:$BY$70,9),$BY$2:$BZ$70,2,FALSE)</f>
        <v/>
      </c>
      <c r="C90" s="1420">
        <f ca="1">VLOOKUP(B90,$A$1:$AI$70,17,FALSE)+VLOOKUP(B90,$A$1:$AI$70,18,FALSE)+VLOOKUP(B90,$A$1:$AI$70,19,FALSE)+VLOOKUP(B90,$A$1:$AI$70,20,FALSE)+VLOOKUP(B90,$A$1:$AI$70,21,FALSE)+VLOOKUP(B90,$A$1:$AI$70,22,FALSE)+VLOOKUP(B90,$A$1:$AI$70,23,FALSE)</f>
        <v>0</v>
      </c>
      <c r="D90" s="1419" t="str">
        <f ca="1">IF(B90="","",IF($BD$1&lt;=7,IF(VLOOKUP(B90,$A$2:$AI$70,3,FALSE)=1,VLOOKUP(B90,$A$2:$AI$70,17,FALSE),0)+IF(VLOOKUP(B90,$A$2:$AI$70,4,FALSE)=1,VLOOKUP(B90,$A$2:$AI$70,18,FALSE),0)+IF(VLOOKUP(B90,$A$2:$AI$70,5,FALSE)=1,VLOOKUP(B90,$A$2:$AI$70,19,FALSE),0)+IF(VLOOKUP(B90,$A$2:$AI$70,6,FALSE)=1,VLOOKUP(B90,$A$2:$AI$70,20,FALSE),0)+IF(VLOOKUP(B90,$A$2:$AI$70,7,FALSE)=1,VLOOKUP(B90,$A$2:$AI$70,21,FALSE),0)+IF(VLOOKUP(B90,$A$2:$AI$70,8,FALSE)=1,VLOOKUP(B90,$A$2:$AI$70,22,FALSE),0)+IF(VLOOKUP(B90,$A$2:$AI$70,9,FALSE)=1,VLOOKUP(B90,$A$2:$AI$70,23,FALSE),0),IF(VLOOKUP(B90,$A$2:$AI$70,10,FALSE)=1,VLOOKUP(B90,$A$2:$AI$70,24,FALSE),0)+IF(VLOOKUP(B90,$A$2:$AI$70,11,FALSE)=1,VLOOKUP(B90,$A$2:$AI$70,25,FALSE),0)+IF(VLOOKUP(B90,$A$2:$AI$70,12,FALSE)=1,VLOOKUP(B90,$A$2:$AI$70,26,FALSE),0)+IF(VLOOKUP(B90,$A$2:$AI$70,13,FALSE)=1,VLOOKUP(B90,$A$2:$AI$70,27,FALSE),0)+IF(VLOOKUP(B90,$A$2:$AI$70,14,FALSE)=1,VLOOKUP(B90,$A$2:$AI$70,28,FALSE),0)+IF(VLOOKUP(B90,$A$2:$AI$70,15,FALSE)=1,VLOOKUP(B90,$A$2:$AI$70,29,FALSE),0)+IF(VLOOKUP(B90,$A$2:$AI$70,16,FALSE)=1,VLOOKUP(B90,$A$2:$AI$70,30,FALSE),0)))</f>
        <v/>
      </c>
      <c r="E90" s="1411" t="str">
        <f ca="1">IF(B90="","",COUNTIF(B$76:H$81,B90)*E$92)</f>
        <v/>
      </c>
      <c r="F90" s="769"/>
      <c r="G90" s="769"/>
      <c r="H90" s="769"/>
      <c r="I90" s="1421" t="str">
        <f ca="1">VLOOKUP(LARGE($CA$2:$CA$70,9),$CA$2:$CB$70,2,FALSE)</f>
        <v>Cojean Youen</v>
      </c>
      <c r="J90" s="1420">
        <f ca="1">VLOOKUP(I90,$A$1:$AI$70,17,FALSE)+VLOOKUP(I90,$A$1:$AI$70,18,FALSE)+VLOOKUP(I90,$A$1:$AI$70,19,FALSE)+VLOOKUP(I90,$A$1:$AI$70,20,FALSE)+VLOOKUP(I90,$A$1:$AI$70,21,FALSE)+VLOOKUP(I90,$A$1:$AI$70,22,FALSE)+VLOOKUP(I90,$A$1:$AI$70,23,FALSE)</f>
        <v>12</v>
      </c>
      <c r="K90" s="1419">
        <f ca="1">IF(I90="","",IF($BD$1&lt;=7,IF(VLOOKUP(I90,$A$2:$AI$70,3,FALSE)=2,VLOOKUP(I90,$A$2:$AI$70,17,FALSE),0)+IF(VLOOKUP(I90,$A$2:$AI$70,4,FALSE)=2,VLOOKUP(I90,$A$2:$AI$70,18,FALSE),0)+IF(VLOOKUP(I90,$A$2:$AI$70,5,FALSE)=2,VLOOKUP(I90,$A$2:$AI$70,19,FALSE),0)+IF(VLOOKUP(I90,$A$2:$AI$70,6,FALSE)=2,VLOOKUP(I90,$A$2:$AI$70,20,FALSE),0)+IF(VLOOKUP(I90,$A$2:$AI$70,7,FALSE)=2,VLOOKUP(I90,$A$2:$AI$70,21,FALSE),0)+IF(VLOOKUP(I90,$A$2:$AI$70,8,FALSE)=2,VLOOKUP(I90,$A$2:$AI$70,22,FALSE),0)+IF(VLOOKUP(I90,$A$2:$AI$70,9,FALSE)=2,VLOOKUP(I90,$A$2:$AI$70,23,FALSE),0),IF(VLOOKUP(I90,$A$2:$AI$70,10,FALSE)=2,VLOOKUP(I90,$A$2:$AI$70,24,FALSE),0)+IF(VLOOKUP(I90,$A$2:$AI$70,11,FALSE)=2,VLOOKUP(I90,$A$2:$AI$70,25,FALSE),0)+IF(VLOOKUP(I90,$A$2:$AI$70,12,FALSE)=2,VLOOKUP(I90,$A$2:$AI$70,26,FALSE),0)+IF(VLOOKUP(I90,$A$2:$AI$70,13,FALSE)=2,VLOOKUP(I90,$A$2:$AI$70,27,FALSE),0)+IF(VLOOKUP(I90,$A$2:$AI$70,14,FALSE)=2,VLOOKUP(I90,$A$2:$AI$70,28,FALSE),0)+IF(VLOOKUP(I90,$A$2:$AI$70,15,FALSE)=2,VLOOKUP(I90,$A$2:$AI$70,29,FALSE),0)+IF(VLOOKUP(I90,$A$2:$AI$70,16,FALSE)=2,VLOOKUP(I90,$A$2:$AI$70,30,FALSE),0)))</f>
        <v>2</v>
      </c>
      <c r="L90" s="1411">
        <f ca="1">IF(I90="","",COUNTIF(I$76:O$81,I90)*L$92)</f>
        <v>3</v>
      </c>
      <c r="M90" s="769"/>
      <c r="N90" s="769"/>
      <c r="O90" s="769"/>
      <c r="P90" s="1421" t="str">
        <f ca="1">VLOOKUP(LARGE($CC$2:$CC$70,9),$CC$2:$CD$70,2,FALSE)</f>
        <v/>
      </c>
      <c r="Q90" s="1420">
        <f ca="1">VLOOKUP(P90,$A$1:$AI$70,17,FALSE)+VLOOKUP(P90,$A$1:$AI$70,18,FALSE)+VLOOKUP(P90,$A$1:$AI$70,19,FALSE)+VLOOKUP(P90,$A$1:$AI$70,20,FALSE)+VLOOKUP(P90,$A$1:$AI$70,21,FALSE)+VLOOKUP(P90,$A$1:$AI$70,22,FALSE)+VLOOKUP(P90,$A$1:$AI$70,23,FALSE)</f>
        <v>0</v>
      </c>
      <c r="R90" s="1419" t="str">
        <f ca="1">IF(P90="","",IF($BD$1&lt;=7,IF(VLOOKUP(P90,$A$2:$AI$70,3,FALSE)=3,VLOOKUP(P90,$A$2:$AI$70,17,FALSE),0)+IF(VLOOKUP(P90,$A$2:$AI$70,4,FALSE)=3,VLOOKUP(P90,$A$2:$AI$70,18,FALSE),0)+IF(VLOOKUP(P90,$A$2:$AI$70,5,FALSE)=3,VLOOKUP(P90,$A$2:$AI$70,19,FALSE),0)+IF(VLOOKUP(P90,$A$2:$AI$70,6,FALSE)=3,VLOOKUP(P90,$A$2:$AI$70,20,FALSE),0)+IF(VLOOKUP(P90,$A$2:$AI$70,7,FALSE)=3,VLOOKUP(P90,$A$2:$AI$70,21,FALSE),0)+IF(VLOOKUP(P90,$A$2:$AI$70,8,FALSE)=3,VLOOKUP(P90,$A$2:$AI$70,22,FALSE),0)+IF(VLOOKUP(P90,$A$2:$AI$70,9,FALSE)=3,VLOOKUP(P90,$A$2:$AI$70,23,FALSE),0),IF(VLOOKUP(P90,$A$2:$AI$70,10,FALSE)=3,VLOOKUP(P90,$A$2:$AI$70,24,FALSE),0)+IF(VLOOKUP(P90,$A$2:$AI$70,11,FALSE)=3,VLOOKUP(P90,$A$2:$AI$70,25,FALSE),0)+IF(VLOOKUP(P90,$A$2:$AI$70,12,FALSE)=3,VLOOKUP(P90,$A$2:$AI$70,26,FALSE),0)+IF(VLOOKUP(P90,$A$2:$AI$70,13,FALSE)=3,VLOOKUP(P90,$A$2:$AI$70,27,FALSE),0)+IF(VLOOKUP(P90,$A$2:$AI$70,14,FALSE)=3,VLOOKUP(P90,$A$2:$AI$70,28,FALSE),0)+IF(VLOOKUP(P90,$A$2:$AI$70,15,FALSE)=3,VLOOKUP(P90,$A$2:$AI$70,29,FALSE),0)+IF(VLOOKUP(P90,$A$2:$AI$70,16,FALSE)=3,VLOOKUP(P90,$A$2:$AI$70,30,FALSE),0)))</f>
        <v/>
      </c>
      <c r="S90" s="1411" t="str">
        <f ca="1">IF(P90="","",COUNTIF(P$76:V$81,P90)*S$92)</f>
        <v/>
      </c>
      <c r="T90" s="769"/>
      <c r="U90" s="769"/>
      <c r="V90" s="769"/>
      <c r="W90" s="1421" t="str">
        <f ca="1">VLOOKUP(LARGE($CE$2:$CE$70,9),$CE$2:$CF$70,2,FALSE)</f>
        <v/>
      </c>
      <c r="X90" s="1420">
        <f ca="1">VLOOKUP(W90,$A$1:$AI$70,17,FALSE)+VLOOKUP(W90,$A$1:$AI$70,18,FALSE)+VLOOKUP(W90,$A$1:$AI$70,19,FALSE)+VLOOKUP(W90,$A$1:$AI$70,20,FALSE)+VLOOKUP(W90,$A$1:$AI$70,21,FALSE)+VLOOKUP(W90,$A$1:$AI$70,22,FALSE)+VLOOKUP(W90,$A$1:$AI$70,23,FALSE)</f>
        <v>0</v>
      </c>
      <c r="Y90" s="1419" t="str">
        <f ca="1">IF(W90="","",IF($BD$1&lt;=7,IF(VLOOKUP(W90,$A$2:$AI$70,3,FALSE)=4,VLOOKUP(W90,$A$2:$AI$70,17,FALSE),0)+IF(VLOOKUP(W90,$A$2:$AI$70,4,FALSE)=4,VLOOKUP(W90,$A$2:$AI$70,18,FALSE),0)+IF(VLOOKUP(W90,$A$2:$AI$70,5,FALSE)=4,VLOOKUP(W90,$A$2:$AI$70,19,FALSE),0)+IF(VLOOKUP(W90,$A$2:$AI$70,6,FALSE)=4,VLOOKUP(W90,$A$2:$AI$70,20,FALSE),0)+IF(VLOOKUP(W90,$A$2:$AI$70,7,FALSE)=4,VLOOKUP(W90,$A$2:$AI$70,21,FALSE),0)+IF(VLOOKUP(W90,$A$2:$AI$70,8,FALSE)=4,VLOOKUP(W90,$A$2:$AI$70,22,FALSE),0)+IF(VLOOKUP(W90,$A$2:$AI$70,9,FALSE)=4,VLOOKUP(W90,$A$2:$AI$70,23,FALSE),0),IF(VLOOKUP(W90,$A$2:$AI$70,10,FALSE)=4,VLOOKUP(W90,$A$2:$AI$70,24,FALSE),0)+IF(VLOOKUP(W90,$A$2:$AI$70,11,FALSE)=4,VLOOKUP(W90,$A$2:$AI$70,25,FALSE),0)+IF(VLOOKUP(W90,$A$2:$AI$70,12,FALSE)=4,VLOOKUP(W90,$A$2:$AI$70,26,FALSE),0)+IF(VLOOKUP(W90,$A$2:$AI$70,13,FALSE)=4,VLOOKUP(W90,$A$2:$AI$70,27,FALSE),0)+IF(VLOOKUP(W90,$A$2:$AI$70,14,FALSE)=4,VLOOKUP(W90,$A$2:$AI$70,28,FALSE),0)+IF(VLOOKUP(W90,$A$2:$AI$70,15,FALSE)=4,VLOOKUP(W90,$A$2:$AI$70,29,FALSE),0)+IF(VLOOKUP(W90,$A$2:$AI$70,16,FALSE)=4,VLOOKUP(W90,$A$2:$AI$70,30,FALSE),0)))</f>
        <v/>
      </c>
      <c r="Z90" s="1411" t="str">
        <f ca="1">IF(W90="","",COUNTIF(W$76:AC$81,W90)*Z$92)</f>
        <v/>
      </c>
      <c r="AA90" s="769"/>
      <c r="AB90" s="769"/>
      <c r="AC90" s="769"/>
      <c r="AD90" s="1421" t="str">
        <f ca="1">VLOOKUP(LARGE($CG$2:$CG$70,9),$CG$2:$CH$70,2,FALSE)</f>
        <v/>
      </c>
      <c r="AE90" s="1420">
        <f ca="1">VLOOKUP(AD90,$A$1:$AI$70,17,FALSE)+VLOOKUP(AD90,$A$1:$AI$70,18,FALSE)+VLOOKUP(AD90,$A$1:$AI$70,19,FALSE)+VLOOKUP(AD90,$A$1:$AI$70,20,FALSE)+VLOOKUP(AD90,$A$1:$AI$70,21,FALSE)+VLOOKUP(AD90,$A$1:$AI$70,22,FALSE)+VLOOKUP(AD90,$A$1:$AI$70,23,FALSE)</f>
        <v>0</v>
      </c>
      <c r="AF90" s="1419" t="str">
        <f ca="1">IF(AD90="","",IF($BD$1&lt;=7,IF(VLOOKUP(AD90,$A$2:$AI$70,3,FALSE)=5,VLOOKUP(AD90,$A$2:$AI$70,17,FALSE),0)+IF(VLOOKUP(AD90,$A$2:$AI$70,4,FALSE)=5,VLOOKUP(AD90,$A$2:$AI$70,18,FALSE),0)+IF(VLOOKUP(AD90,$A$2:$AI$70,5,FALSE)=5,VLOOKUP(AD90,$A$2:$AI$70,19,FALSE),0)+IF(VLOOKUP(AD90,$A$2:$AI$70,6,FALSE)=5,VLOOKUP(AD90,$A$2:$AI$70,20,FALSE),0)+IF(VLOOKUP(AD90,$A$2:$AI$70,7,FALSE)=5,VLOOKUP(AD90,$A$2:$AI$70,21,FALSE),0)+IF(VLOOKUP(AD90,$A$2:$AI$70,8,FALSE)=5,VLOOKUP(AD90,$A$2:$AI$70,22,FALSE),0)+IF(VLOOKUP(AD90,$A$2:$AI$70,9,FALSE)=5,VLOOKUP(AD90,$A$2:$AI$70,23,FALSE),0),IF(VLOOKUP(AD90,$A$2:$AI$70,10,FALSE)=5,VLOOKUP(AD90,$A$2:$AI$70,24,FALSE),0)+IF(VLOOKUP(AD90,$A$2:$AI$70,11,FALSE)=5,VLOOKUP(AD90,$A$2:$AI$70,25,FALSE),0)+IF(VLOOKUP(AD90,$A$2:$AI$70,12,FALSE)=5,VLOOKUP(AD90,$A$2:$AI$70,26,FALSE),0)+IF(VLOOKUP(AD90,$A$2:$AI$70,13,FALSE)=5,VLOOKUP(AD90,$A$2:$AI$70,27,FALSE),0)+IF(VLOOKUP(AD90,$A$2:$AI$70,14,FALSE)=5,VLOOKUP(AD90,$A$2:$AI$70,28,FALSE),0)+IF(VLOOKUP(AD90,$A$2:$AI$70,15,FALSE)=5,VLOOKUP(AD90,$A$2:$AI$70,29,FALSE),0)+IF(VLOOKUP(AD90,$A$2:$AI$70,16,FALSE)=5,VLOOKUP(AD90,$A$2:$AI$70,30,FALSE),0)))</f>
        <v/>
      </c>
      <c r="AG90" s="1411" t="str">
        <f ca="1">IF(AD90="","",COUNTIF(AD$76:AJ$81,AD90)*AG$92)</f>
        <v/>
      </c>
      <c r="AH90" s="1413"/>
      <c r="AI90" s="769"/>
      <c r="AJ90" s="769"/>
      <c r="AK90" s="1421" t="str">
        <f ca="1">VLOOKUP(LARGE($CI$2:$CI$70,9),$CI$2:$CJ$70,2,FALSE)</f>
        <v/>
      </c>
      <c r="AL90" s="1420">
        <f ca="1">VLOOKUP(AK90,$A$1:$AI$70,17,FALSE)+VLOOKUP(AK90,$A$1:$AI$70,18,FALSE)+VLOOKUP(AK90,$A$1:$AI$70,19,FALSE)+VLOOKUP(AK90,$A$1:$AI$70,20,FALSE)+VLOOKUP(AK90,$A$1:$AI$70,21,FALSE)+VLOOKUP(AK90,$A$1:$AI$70,22,FALSE)+VLOOKUP(AK90,$A$1:$AI$70,23,FALSE)</f>
        <v>0</v>
      </c>
      <c r="AM90" s="1419" t="str">
        <f ca="1">IF(AK90="","",IF($BD$1&lt;=7,IF(VLOOKUP(AK90,$A$2:$AI$70,3,FALSE)=6,VLOOKUP(AK90,$A$2:$AI$70,17,FALSE),0)+IF(VLOOKUP(AK90,$A$2:$AI$70,4,FALSE)=6,VLOOKUP(AK90,$A$2:$AI$70,18,FALSE),0)+IF(VLOOKUP(AK90,$A$2:$AI$70,5,FALSE)=6,VLOOKUP(AK90,$A$2:$AI$70,19,FALSE),0)+IF(VLOOKUP(AK90,$A$2:$AI$70,6,FALSE)=6,VLOOKUP(AK90,$A$2:$AI$70,20,FALSE),0)+IF(VLOOKUP(AK90,$A$2:$AI$70,7,FALSE)=6,VLOOKUP(AK90,$A$2:$AI$70,21,FALSE),0)+IF(VLOOKUP(AK90,$A$2:$AI$70,8,FALSE)=6,VLOOKUP(AK90,$A$2:$AI$70,22,FALSE),0)+IF(VLOOKUP(AK90,$A$2:$AI$70,9,FALSE)=6,VLOOKUP(AK90,$A$2:$AI$70,23,FALSE),0),IF(VLOOKUP(AK90,$A$2:$AI$70,10,FALSE)=6,VLOOKUP(AK90,$A$2:$AI$70,24,FALSE),0)+IF(VLOOKUP(AK90,$A$2:$AI$70,11,FALSE)=6,VLOOKUP(AK90,$A$2:$AI$70,25,FALSE),0)+IF(VLOOKUP(AK90,$A$2:$AI$70,12,FALSE)=6,VLOOKUP(AK90,$A$2:$AI$70,26,FALSE),0)+IF(VLOOKUP(AK90,$A$2:$AI$70,13,FALSE)=6,VLOOKUP(AK90,$A$2:$AI$70,27,FALSE),0)+IF(VLOOKUP(AK90,$A$2:$AI$70,14,FALSE)=6,VLOOKUP(AK90,$A$2:$AI$70,28,FALSE),0)+IF(VLOOKUP(AK90,$A$2:$AI$70,15,FALSE)=6,VLOOKUP(AK90,$A$2:$AI$70,29,FALSE),0)+IF(VLOOKUP(AK90,$A$2:$AI$70,16,FALSE)=6,VLOOKUP(AK90,$A$2:$AI$70,30,FALSE),0)))</f>
        <v/>
      </c>
      <c r="AN90" s="1411" t="str">
        <f ca="1">IF(AK90="","",COUNTIF(AK$76:AQ$81,AK90)*AN$92)</f>
        <v/>
      </c>
      <c r="AO90" s="769"/>
      <c r="AP90" s="769"/>
      <c r="AQ90" s="769"/>
      <c r="AR90" s="1421" t="str">
        <f ca="1">VLOOKUP(LARGE($CK$2:$CK$70,9),$CK$2:$CL$70,2,FALSE)</f>
        <v>Simon Titouan</v>
      </c>
      <c r="AS90" s="1420">
        <f ca="1">VLOOKUP(AR90,$A$1:$AI$70,17,FALSE)+VLOOKUP(AR90,$A$1:$AI$70,18,FALSE)+VLOOKUP(AR90,$A$1:$AI$70,19,FALSE)+VLOOKUP(AR90,$A$1:$AI$70,20,FALSE)+VLOOKUP(AR90,$A$1:$AI$70,21,FALSE)+VLOOKUP(AR90,$A$1:$AI$70,22,FALSE)+VLOOKUP(AR90,$A$1:$AI$70,23,FALSE)</f>
        <v>0</v>
      </c>
      <c r="AT90" s="1419">
        <f ca="1">IF(AR90="","",IF($BD$1&lt;=7,IF(VLOOKUP(AR90,$A$2:$AI$70,3,FALSE)=7,VLOOKUP(AR90,$A$2:$AI$70,17,FALSE),0)+IF(VLOOKUP(AR90,$A$2:$AI$70,4,FALSE)=7,VLOOKUP(AR90,$A$2:$AI$70,18,FALSE),0)+IF(VLOOKUP(AR90,$A$2:$AI$70,5,FALSE)=7,VLOOKUP(AR90,$A$2:$AI$70,19,FALSE),0)+IF(VLOOKUP(AR90,$A$2:$AI$70,6,FALSE)=7,VLOOKUP(AR90,$A$2:$AI$70,20,FALSE),0)+IF(VLOOKUP(AR90,$A$2:$AI$70,7,FALSE)=7,VLOOKUP(AR90,$A$2:$AI$70,21,FALSE),0)+IF(VLOOKUP(AR90,$A$2:$AI$70,8,FALSE)=7,VLOOKUP(AR90,$A$2:$AI$70,22,FALSE),0)+IF(VLOOKUP(AR90,$A$2:$AI$70,9,FALSE)=7,VLOOKUP(AR90,$A$2:$AI$70,23,FALSE),0),IF(VLOOKUP(AR90,$A$2:$AI$70,10,FALSE)=7,VLOOKUP(AR90,$A$2:$AI$70,24,FALSE),0)+IF(VLOOKUP(AR90,$A$2:$AI$70,11,FALSE)=7,VLOOKUP(AR90,$A$2:$AI$70,25,FALSE),0)+IF(VLOOKUP(AR90,$A$2:$AI$70,12,FALSE)=7,VLOOKUP(AR90,$A$2:$AI$70,26,FALSE),0)+IF(VLOOKUP(AR90,$A$2:$AI$70,13,FALSE)=7,VLOOKUP(AR90,$A$2:$AI$70,27,FALSE),0)+IF(VLOOKUP(AR90,$A$2:$AI$70,14,FALSE)=7,VLOOKUP(AR90,$A$2:$AI$70,28,FALSE),0)+IF(VLOOKUP(AR90,$A$2:$AI$70,15,FALSE)=7,VLOOKUP(AR90,$A$2:$AI$70,29,FALSE),0)+IF(VLOOKUP(AR90,$A$2:$AI$70,16,FALSE)=7,VLOOKUP(AR90,$A$2:$AI$70,30,FALSE),0)))</f>
        <v>0</v>
      </c>
      <c r="AU90" s="1411">
        <f ca="1">IF(AR90="","",COUNTIF(AR$76:AX$81,AR90)*AU$92)</f>
        <v>3</v>
      </c>
      <c r="AV90" s="769"/>
      <c r="AW90" s="769"/>
      <c r="AX90" s="1414"/>
      <c r="AY90" s="1588" t="str">
        <f ca="1">VLOOKUP(LARGE($CM$2:$CM$70,9),$CM$2:$CN$70,2,FALSE)</f>
        <v/>
      </c>
      <c r="AZ90" s="1584">
        <f ca="1">VLOOKUP(AY90,$A$1:$AI$70,17,FALSE)+VLOOKUP(AY90,$A$1:$AI$70,18,FALSE)+VLOOKUP(AY90,$A$1:$AI$70,19,FALSE)+VLOOKUP(AY90,$A$1:$AI$70,20,FALSE)+VLOOKUP(AY90,$A$1:$AI$70,21,FALSE)+VLOOKUP(AY90,$A$1:$AI$70,22,FALSE)+VLOOKUP(AY90,$A$1:$AI$70,23,FALSE)</f>
        <v>0</v>
      </c>
      <c r="BA90" s="1419" t="str">
        <f ca="1">IF(AY90="","",IF($BD$1&lt;=7,IF(VLOOKUP(AY90,$A$2:$AI$70,3,FALSE)=8,VLOOKUP(AY90,$A$2:$AI$70,17,FALSE),0)+IF(VLOOKUP(AY90,$A$2:$AI$70,4,FALSE)=8,VLOOKUP(AY90,$A$2:$AI$70,18,FALSE),0)+IF(VLOOKUP(AY90,$A$2:$AI$70,5,FALSE)=8,VLOOKUP(AY90,$A$2:$AI$70,19,FALSE),0)+IF(VLOOKUP(AY90,$A$2:$AI$70,6,FALSE)=8,VLOOKUP(AY90,$A$2:$AI$70,20,FALSE),0)+IF(VLOOKUP(AY90,$A$2:$AI$70,7,FALSE)=8,VLOOKUP(AY90,$A$2:$AI$70,21,FALSE),0)+IF(VLOOKUP(AY90,$A$2:$AI$70,8,FALSE)=8,VLOOKUP(AY90,$A$2:$AI$70,22,FALSE),0)+IF(VLOOKUP(AY90,$A$2:$AI$70,9,FALSE)=8,VLOOKUP(AY90,$A$2:$AI$70,23,FALSE),0),IF(VLOOKUP(AY90,$A$2:$AI$70,10,FALSE)=8,VLOOKUP(AY90,$A$2:$AI$70,24,FALSE),0)+IF(VLOOKUP(AY90,$A$2:$AI$70,11,FALSE)=8,VLOOKUP(AY90,$A$2:$AI$70,25,FALSE),0)+IF(VLOOKUP(AY90,$A$2:$AI$70,12,FALSE)=8,VLOOKUP(AY90,$A$2:$AI$70,26,FALSE),0)+IF(VLOOKUP(AY90,$A$2:$AI$70,13,FALSE)=8,VLOOKUP(AY90,$A$2:$AI$70,27,FALSE),0)+IF(VLOOKUP(AY90,$A$2:$AI$70,14,FALSE)=8,VLOOKUP(AY90,$A$2:$AI$70,28,FALSE),0)+IF(VLOOKUP(AY90,$A$2:$AI$70,15,FALSE)=8,VLOOKUP(AY90,$A$2:$AI$70,29,FALSE),0)+IF(VLOOKUP(AY90,$A$2:$AI$70,16,FALSE)=8,VLOOKUP(AY90,$A$2:$AI$70,30,FALSE),0)))</f>
        <v/>
      </c>
      <c r="BB90" s="1411" t="str">
        <f ca="1">IF(AY90="","",COUNTIF(AY$76:BE$81,AY90)*BB$92)</f>
        <v/>
      </c>
      <c r="BC90" s="769"/>
      <c r="BD90" s="769"/>
      <c r="BE90" s="769"/>
      <c r="BF90" s="769"/>
      <c r="BG90" s="769"/>
      <c r="BH90" s="769"/>
      <c r="BI90" s="769"/>
      <c r="BJ90" s="769"/>
      <c r="BK90" s="769"/>
      <c r="BL90" s="769"/>
      <c r="BM90" s="769"/>
      <c r="BN90" s="769"/>
      <c r="BO90" s="769"/>
      <c r="BP90" s="769"/>
      <c r="BQ90" s="769"/>
      <c r="BR90" s="769"/>
      <c r="BS90" s="769"/>
      <c r="BT90" s="769"/>
      <c r="BU90" s="769"/>
      <c r="BV90" s="1415"/>
      <c r="BW90" s="1415"/>
      <c r="BX90" s="1415"/>
      <c r="BY90" s="1415"/>
      <c r="BZ90" s="1415"/>
      <c r="CA90" s="1415"/>
      <c r="CB90" s="1415"/>
      <c r="CC90" s="1415"/>
      <c r="CD90" s="1415"/>
      <c r="CE90" s="1415"/>
      <c r="CF90" s="1415"/>
      <c r="CG90" s="1415"/>
      <c r="CH90" s="1415"/>
      <c r="CI90" s="1415"/>
      <c r="CJ90" s="1415"/>
      <c r="CK90" s="1415"/>
      <c r="CL90" s="1415"/>
      <c r="CM90" s="1415"/>
      <c r="CN90" s="1415"/>
      <c r="CO90" s="1406"/>
      <c r="CP90" s="81"/>
      <c r="CQ90" s="81"/>
      <c r="DC90" s="1403"/>
      <c r="DD90" s="1405"/>
      <c r="DF90" s="1404"/>
      <c r="DH90" s="86"/>
      <c r="DI90" s="86"/>
      <c r="DK90"/>
      <c r="DL90" s="769"/>
      <c r="DM90" s="554"/>
      <c r="DN90" s="554"/>
      <c r="DO90" s="1401"/>
      <c r="DP90" s="1400"/>
      <c r="DQ90"/>
      <c r="DR90"/>
    </row>
    <row r="91" spans="1:122" ht="15.75">
      <c r="B91" s="1421" t="str">
        <f ca="1">VLOOKUP(LARGE($BY$2:$BY$70,10),$BY$2:$BZ$70,2,FALSE)</f>
        <v/>
      </c>
      <c r="C91" s="1420">
        <f ca="1">VLOOKUP(B91,$A$1:$AI$70,17,FALSE)+VLOOKUP(B91,$A$1:$AI$70,18,FALSE)+VLOOKUP(B91,$A$1:$AI$70,19,FALSE)+VLOOKUP(B91,$A$1:$AI$70,20,FALSE)+VLOOKUP(B91,$A$1:$AI$70,21,FALSE)+VLOOKUP(B91,$A$1:$AI$70,22,FALSE)+VLOOKUP(B91,$A$1:$AI$70,23,FALSE)</f>
        <v>0</v>
      </c>
      <c r="D91" s="1419" t="str">
        <f ca="1">IF(B91="","",IF($BD$1&lt;=7,IF(VLOOKUP(B91,$A$2:$AI$70,3,FALSE)=1,VLOOKUP(B91,$A$2:$AI$70,17,FALSE),0)+IF(VLOOKUP(B91,$A$2:$AI$70,4,FALSE)=1,VLOOKUP(B91,$A$2:$AI$70,18,FALSE),0)+IF(VLOOKUP(B91,$A$2:$AI$70,5,FALSE)=1,VLOOKUP(B91,$A$2:$AI$70,19,FALSE),0)+IF(VLOOKUP(B91,$A$2:$AI$70,6,FALSE)=1,VLOOKUP(B91,$A$2:$AI$70,20,FALSE),0)+IF(VLOOKUP(B91,$A$2:$AI$70,7,FALSE)=1,VLOOKUP(B91,$A$2:$AI$70,21,FALSE),0)+IF(VLOOKUP(B91,$A$2:$AI$70,8,FALSE)=1,VLOOKUP(B91,$A$2:$AI$70,22,FALSE),0)+IF(VLOOKUP(B91,$A$2:$AI$70,9,FALSE)=1,VLOOKUP(B91,$A$2:$AI$70,23,FALSE),0),IF(VLOOKUP(B91,$A$2:$AI$70,10,FALSE)=1,VLOOKUP(B91,$A$2:$AI$70,24,FALSE),0)+IF(VLOOKUP(B91,$A$2:$AI$70,11,FALSE)=1,VLOOKUP(B91,$A$2:$AI$70,25,FALSE),0)+IF(VLOOKUP(B91,$A$2:$AI$70,12,FALSE)=1,VLOOKUP(B91,$A$2:$AI$70,26,FALSE),0)+IF(VLOOKUP(B91,$A$2:$AI$70,13,FALSE)=1,VLOOKUP(B91,$A$2:$AI$70,27,FALSE),0)+IF(VLOOKUP(B91,$A$2:$AI$70,14,FALSE)=1,VLOOKUP(B91,$A$2:$AI$70,28,FALSE),0)+IF(VLOOKUP(B91,$A$2:$AI$70,15,FALSE)=1,VLOOKUP(B91,$A$2:$AI$70,29,FALSE),0)+IF(VLOOKUP(B91,$A$2:$AI$70,16,FALSE)=1,VLOOKUP(B91,$A$2:$AI$70,30,FALSE),0)))</f>
        <v/>
      </c>
      <c r="E91" s="1411" t="str">
        <f ca="1">IF(B91="","",COUNTIF(B$76:H$81,B91)*E$92)</f>
        <v/>
      </c>
      <c r="F91" s="769"/>
      <c r="G91" s="769"/>
      <c r="H91" s="769"/>
      <c r="I91" s="1421" t="str">
        <f ca="1">VLOOKUP(LARGE($CA$2:$CA$70,10),$CA$2:$CB$70,2,FALSE)</f>
        <v/>
      </c>
      <c r="J91" s="1420">
        <f ca="1">VLOOKUP(I91,$A$1:$AI$70,17,FALSE)+VLOOKUP(I91,$A$1:$AI$70,18,FALSE)+VLOOKUP(I91,$A$1:$AI$70,19,FALSE)+VLOOKUP(I91,$A$1:$AI$70,20,FALSE)+VLOOKUP(I91,$A$1:$AI$70,21,FALSE)+VLOOKUP(I91,$A$1:$AI$70,22,FALSE)+VLOOKUP(I91,$A$1:$AI$70,23,FALSE)</f>
        <v>0</v>
      </c>
      <c r="K91" s="1419" t="str">
        <f ca="1">IF(I91="","",IF($BD$1&lt;=7,IF(VLOOKUP(I91,$A$2:$AI$70,3,FALSE)=2,VLOOKUP(I91,$A$2:$AI$70,17,FALSE),0)+IF(VLOOKUP(I91,$A$2:$AI$70,4,FALSE)=2,VLOOKUP(I91,$A$2:$AI$70,18,FALSE),0)+IF(VLOOKUP(I91,$A$2:$AI$70,5,FALSE)=2,VLOOKUP(I91,$A$2:$AI$70,19,FALSE),0)+IF(VLOOKUP(I91,$A$2:$AI$70,6,FALSE)=2,VLOOKUP(I91,$A$2:$AI$70,20,FALSE),0)+IF(VLOOKUP(I91,$A$2:$AI$70,7,FALSE)=2,VLOOKUP(I91,$A$2:$AI$70,21,FALSE),0)+IF(VLOOKUP(I91,$A$2:$AI$70,8,FALSE)=2,VLOOKUP(I91,$A$2:$AI$70,22,FALSE),0)+IF(VLOOKUP(I91,$A$2:$AI$70,9,FALSE)=2,VLOOKUP(I91,$A$2:$AI$70,23,FALSE),0),IF(VLOOKUP(I91,$A$2:$AI$70,10,FALSE)=2,VLOOKUP(I91,$A$2:$AI$70,24,FALSE),0)+IF(VLOOKUP(I91,$A$2:$AI$70,11,FALSE)=2,VLOOKUP(I91,$A$2:$AI$70,25,FALSE),0)+IF(VLOOKUP(I91,$A$2:$AI$70,12,FALSE)=2,VLOOKUP(I91,$A$2:$AI$70,26,FALSE),0)+IF(VLOOKUP(I91,$A$2:$AI$70,13,FALSE)=2,VLOOKUP(I91,$A$2:$AI$70,27,FALSE),0)+IF(VLOOKUP(I91,$A$2:$AI$70,14,FALSE)=2,VLOOKUP(I91,$A$2:$AI$70,28,FALSE),0)+IF(VLOOKUP(I91,$A$2:$AI$70,15,FALSE)=2,VLOOKUP(I91,$A$2:$AI$70,29,FALSE),0)+IF(VLOOKUP(I91,$A$2:$AI$70,16,FALSE)=2,VLOOKUP(I91,$A$2:$AI$70,30,FALSE),0)))</f>
        <v/>
      </c>
      <c r="L91" s="1411" t="str">
        <f ca="1">IF(I91="","",COUNTIF(I$76:O$81,I91)*L$92)</f>
        <v/>
      </c>
      <c r="M91" s="769"/>
      <c r="N91" s="769"/>
      <c r="O91" s="769"/>
      <c r="P91" s="1421" t="str">
        <f ca="1">VLOOKUP(LARGE($CC$2:$CC$70,10),$CC$2:$CD$70,2,FALSE)</f>
        <v/>
      </c>
      <c r="Q91" s="1420">
        <f ca="1">VLOOKUP(P91,$A$1:$AI$70,17,FALSE)+VLOOKUP(P91,$A$1:$AI$70,18,FALSE)+VLOOKUP(P91,$A$1:$AI$70,19,FALSE)+VLOOKUP(P91,$A$1:$AI$70,20,FALSE)+VLOOKUP(P91,$A$1:$AI$70,21,FALSE)+VLOOKUP(P91,$A$1:$AI$70,22,FALSE)+VLOOKUP(P91,$A$1:$AI$70,23,FALSE)</f>
        <v>0</v>
      </c>
      <c r="R91" s="1419" t="str">
        <f ca="1">IF(P91="","",IF($BD$1&lt;=7,IF(VLOOKUP(P91,$A$2:$AI$70,3,FALSE)=3,VLOOKUP(P91,$A$2:$AI$70,17,FALSE),0)+IF(VLOOKUP(P91,$A$2:$AI$70,4,FALSE)=3,VLOOKUP(P91,$A$2:$AI$70,18,FALSE),0)+IF(VLOOKUP(P91,$A$2:$AI$70,5,FALSE)=3,VLOOKUP(P91,$A$2:$AI$70,19,FALSE),0)+IF(VLOOKUP(P91,$A$2:$AI$70,6,FALSE)=3,VLOOKUP(P91,$A$2:$AI$70,20,FALSE),0)+IF(VLOOKUP(P91,$A$2:$AI$70,7,FALSE)=3,VLOOKUP(P91,$A$2:$AI$70,21,FALSE),0)+IF(VLOOKUP(P91,$A$2:$AI$70,8,FALSE)=3,VLOOKUP(P91,$A$2:$AI$70,22,FALSE),0)+IF(VLOOKUP(P91,$A$2:$AI$70,9,FALSE)=3,VLOOKUP(P91,$A$2:$AI$70,23,FALSE),0),IF(VLOOKUP(P91,$A$2:$AI$70,10,FALSE)=3,VLOOKUP(P91,$A$2:$AI$70,24,FALSE),0)+IF(VLOOKUP(P91,$A$2:$AI$70,11,FALSE)=3,VLOOKUP(P91,$A$2:$AI$70,25,FALSE),0)+IF(VLOOKUP(P91,$A$2:$AI$70,12,FALSE)=3,VLOOKUP(P91,$A$2:$AI$70,26,FALSE),0)+IF(VLOOKUP(P91,$A$2:$AI$70,13,FALSE)=3,VLOOKUP(P91,$A$2:$AI$70,27,FALSE),0)+IF(VLOOKUP(P91,$A$2:$AI$70,14,FALSE)=3,VLOOKUP(P91,$A$2:$AI$70,28,FALSE),0)+IF(VLOOKUP(P91,$A$2:$AI$70,15,FALSE)=3,VLOOKUP(P91,$A$2:$AI$70,29,FALSE),0)+IF(VLOOKUP(P91,$A$2:$AI$70,16,FALSE)=3,VLOOKUP(P91,$A$2:$AI$70,30,FALSE),0)))</f>
        <v/>
      </c>
      <c r="S91" s="1411" t="str">
        <f ca="1">IF(P91="","",COUNTIF(P$76:V$81,P91)*S$92)</f>
        <v/>
      </c>
      <c r="T91" s="769"/>
      <c r="U91" s="769"/>
      <c r="V91" s="769"/>
      <c r="W91" s="1421" t="str">
        <f ca="1">VLOOKUP(LARGE($CE$2:$CE$70,10),$CE$2:$CF$70,2,FALSE)</f>
        <v/>
      </c>
      <c r="X91" s="1420">
        <f ca="1">VLOOKUP(W91,$A$1:$AI$70,17,FALSE)+VLOOKUP(W91,$A$1:$AI$70,18,FALSE)+VLOOKUP(W91,$A$1:$AI$70,19,FALSE)+VLOOKUP(W91,$A$1:$AI$70,20,FALSE)+VLOOKUP(W91,$A$1:$AI$70,21,FALSE)+VLOOKUP(W91,$A$1:$AI$70,22,FALSE)+VLOOKUP(W91,$A$1:$AI$70,23,FALSE)</f>
        <v>0</v>
      </c>
      <c r="Y91" s="1419" t="str">
        <f ca="1">IF(W91="","",IF($BD$1&lt;=7,IF(VLOOKUP(W91,$A$2:$AI$70,3,FALSE)=4,VLOOKUP(W91,$A$2:$AI$70,17,FALSE),0)+IF(VLOOKUP(W91,$A$2:$AI$70,4,FALSE)=4,VLOOKUP(W91,$A$2:$AI$70,18,FALSE),0)+IF(VLOOKUP(W91,$A$2:$AI$70,5,FALSE)=4,VLOOKUP(W91,$A$2:$AI$70,19,FALSE),0)+IF(VLOOKUP(W91,$A$2:$AI$70,6,FALSE)=4,VLOOKUP(W91,$A$2:$AI$70,20,FALSE),0)+IF(VLOOKUP(W91,$A$2:$AI$70,7,FALSE)=4,VLOOKUP(W91,$A$2:$AI$70,21,FALSE),0)+IF(VLOOKUP(W91,$A$2:$AI$70,8,FALSE)=4,VLOOKUP(W91,$A$2:$AI$70,22,FALSE),0)+IF(VLOOKUP(W91,$A$2:$AI$70,9,FALSE)=4,VLOOKUP(W91,$A$2:$AI$70,23,FALSE),0),IF(VLOOKUP(W91,$A$2:$AI$70,10,FALSE)=4,VLOOKUP(W91,$A$2:$AI$70,24,FALSE),0)+IF(VLOOKUP(W91,$A$2:$AI$70,11,FALSE)=4,VLOOKUP(W91,$A$2:$AI$70,25,FALSE),0)+IF(VLOOKUP(W91,$A$2:$AI$70,12,FALSE)=4,VLOOKUP(W91,$A$2:$AI$70,26,FALSE),0)+IF(VLOOKUP(W91,$A$2:$AI$70,13,FALSE)=4,VLOOKUP(W91,$A$2:$AI$70,27,FALSE),0)+IF(VLOOKUP(W91,$A$2:$AI$70,14,FALSE)=4,VLOOKUP(W91,$A$2:$AI$70,28,FALSE),0)+IF(VLOOKUP(W91,$A$2:$AI$70,15,FALSE)=4,VLOOKUP(W91,$A$2:$AI$70,29,FALSE),0)+IF(VLOOKUP(W91,$A$2:$AI$70,16,FALSE)=4,VLOOKUP(W91,$A$2:$AI$70,30,FALSE),0)))</f>
        <v/>
      </c>
      <c r="Z91" s="1411" t="str">
        <f ca="1">IF(W91="","",COUNTIF(W$76:AC$81,W91)*Z$92)</f>
        <v/>
      </c>
      <c r="AA91" s="769"/>
      <c r="AB91" s="769"/>
      <c r="AC91" s="769"/>
      <c r="AD91" s="1421" t="str">
        <f ca="1">VLOOKUP(LARGE($CG$2:$CG$70,10),$CG$2:$CH$70,2,FALSE)</f>
        <v/>
      </c>
      <c r="AE91" s="1420">
        <f ca="1">VLOOKUP(AD91,$A$1:$AI$70,17,FALSE)+VLOOKUP(AD91,$A$1:$AI$70,18,FALSE)+VLOOKUP(AD91,$A$1:$AI$70,19,FALSE)+VLOOKUP(AD91,$A$1:$AI$70,20,FALSE)+VLOOKUP(AD91,$A$1:$AI$70,21,FALSE)+VLOOKUP(AD91,$A$1:$AI$70,22,FALSE)+VLOOKUP(AD91,$A$1:$AI$70,23,FALSE)</f>
        <v>0</v>
      </c>
      <c r="AF91" s="1419" t="str">
        <f ca="1">IF(AD91="","",IF($BD$1&lt;=7,IF(VLOOKUP(AD91,$A$2:$AI$70,3,FALSE)=5,VLOOKUP(AD91,$A$2:$AI$70,17,FALSE),0)+IF(VLOOKUP(AD91,$A$2:$AI$70,4,FALSE)=5,VLOOKUP(AD91,$A$2:$AI$70,18,FALSE),0)+IF(VLOOKUP(AD91,$A$2:$AI$70,5,FALSE)=5,VLOOKUP(AD91,$A$2:$AI$70,19,FALSE),0)+IF(VLOOKUP(AD91,$A$2:$AI$70,6,FALSE)=5,VLOOKUP(AD91,$A$2:$AI$70,20,FALSE),0)+IF(VLOOKUP(AD91,$A$2:$AI$70,7,FALSE)=5,VLOOKUP(AD91,$A$2:$AI$70,21,FALSE),0)+IF(VLOOKUP(AD91,$A$2:$AI$70,8,FALSE)=5,VLOOKUP(AD91,$A$2:$AI$70,22,FALSE),0)+IF(VLOOKUP(AD91,$A$2:$AI$70,9,FALSE)=5,VLOOKUP(AD91,$A$2:$AI$70,23,FALSE),0),IF(VLOOKUP(AD91,$A$2:$AI$70,10,FALSE)=5,VLOOKUP(AD91,$A$2:$AI$70,24,FALSE),0)+IF(VLOOKUP(AD91,$A$2:$AI$70,11,FALSE)=5,VLOOKUP(AD91,$A$2:$AI$70,25,FALSE),0)+IF(VLOOKUP(AD91,$A$2:$AI$70,12,FALSE)=5,VLOOKUP(AD91,$A$2:$AI$70,26,FALSE),0)+IF(VLOOKUP(AD91,$A$2:$AI$70,13,FALSE)=5,VLOOKUP(AD91,$A$2:$AI$70,27,FALSE),0)+IF(VLOOKUP(AD91,$A$2:$AI$70,14,FALSE)=5,VLOOKUP(AD91,$A$2:$AI$70,28,FALSE),0)+IF(VLOOKUP(AD91,$A$2:$AI$70,15,FALSE)=5,VLOOKUP(AD91,$A$2:$AI$70,29,FALSE),0)+IF(VLOOKUP(AD91,$A$2:$AI$70,16,FALSE)=5,VLOOKUP(AD91,$A$2:$AI$70,30,FALSE),0)))</f>
        <v/>
      </c>
      <c r="AG91" s="1411" t="str">
        <f ca="1">IF(AD91="","",COUNTIF(AD$76:AJ$81,AD91)*AG$92)</f>
        <v/>
      </c>
      <c r="AH91" s="1413"/>
      <c r="AI91" s="769"/>
      <c r="AJ91" s="769"/>
      <c r="AK91" s="1421" t="str">
        <f ca="1">VLOOKUP(LARGE($CI$2:$CI$70,10),$CI$2:$CJ$70,2,FALSE)</f>
        <v/>
      </c>
      <c r="AL91" s="1420">
        <f ca="1">VLOOKUP(AK91,$A$1:$AI$70,17,FALSE)+VLOOKUP(AK91,$A$1:$AI$70,18,FALSE)+VLOOKUP(AK91,$A$1:$AI$70,19,FALSE)+VLOOKUP(AK91,$A$1:$AI$70,20,FALSE)+VLOOKUP(AK91,$A$1:$AI$70,21,FALSE)+VLOOKUP(AK91,$A$1:$AI$70,22,FALSE)+VLOOKUP(AK91,$A$1:$AI$70,23,FALSE)</f>
        <v>0</v>
      </c>
      <c r="AM91" s="1419" t="str">
        <f ca="1">IF(AK91="","",IF($BD$1&lt;=7,IF(VLOOKUP(AK91,$A$2:$AI$70,3,FALSE)=6,VLOOKUP(AK91,$A$2:$AI$70,17,FALSE),0)+IF(VLOOKUP(AK91,$A$2:$AI$70,4,FALSE)=6,VLOOKUP(AK91,$A$2:$AI$70,18,FALSE),0)+IF(VLOOKUP(AK91,$A$2:$AI$70,5,FALSE)=6,VLOOKUP(AK91,$A$2:$AI$70,19,FALSE),0)+IF(VLOOKUP(AK91,$A$2:$AI$70,6,FALSE)=6,VLOOKUP(AK91,$A$2:$AI$70,20,FALSE),0)+IF(VLOOKUP(AK91,$A$2:$AI$70,7,FALSE)=6,VLOOKUP(AK91,$A$2:$AI$70,21,FALSE),0)+IF(VLOOKUP(AK91,$A$2:$AI$70,8,FALSE)=6,VLOOKUP(AK91,$A$2:$AI$70,22,FALSE),0)+IF(VLOOKUP(AK91,$A$2:$AI$70,9,FALSE)=6,VLOOKUP(AK91,$A$2:$AI$70,23,FALSE),0),IF(VLOOKUP(AK91,$A$2:$AI$70,10,FALSE)=6,VLOOKUP(AK91,$A$2:$AI$70,24,FALSE),0)+IF(VLOOKUP(AK91,$A$2:$AI$70,11,FALSE)=6,VLOOKUP(AK91,$A$2:$AI$70,25,FALSE),0)+IF(VLOOKUP(AK91,$A$2:$AI$70,12,FALSE)=6,VLOOKUP(AK91,$A$2:$AI$70,26,FALSE),0)+IF(VLOOKUP(AK91,$A$2:$AI$70,13,FALSE)=6,VLOOKUP(AK91,$A$2:$AI$70,27,FALSE),0)+IF(VLOOKUP(AK91,$A$2:$AI$70,14,FALSE)=6,VLOOKUP(AK91,$A$2:$AI$70,28,FALSE),0)+IF(VLOOKUP(AK91,$A$2:$AI$70,15,FALSE)=6,VLOOKUP(AK91,$A$2:$AI$70,29,FALSE),0)+IF(VLOOKUP(AK91,$A$2:$AI$70,16,FALSE)=6,VLOOKUP(AK91,$A$2:$AI$70,30,FALSE),0)))</f>
        <v/>
      </c>
      <c r="AN91" s="1411" t="str">
        <f ca="1">IF(AK91="","",COUNTIF(AK$76:AQ$81,AK91)*AN$92)</f>
        <v/>
      </c>
      <c r="AO91" s="769"/>
      <c r="AP91" s="769"/>
      <c r="AQ91" s="769"/>
      <c r="AR91" s="1421" t="str">
        <f ca="1">VLOOKUP(LARGE($CK$2:$CK$70,10),$CK$2:$CL$70,2,FALSE)</f>
        <v/>
      </c>
      <c r="AS91" s="1420">
        <f ca="1">VLOOKUP(AR91,$A$1:$AI$70,17,FALSE)+VLOOKUP(AR91,$A$1:$AI$70,18,FALSE)+VLOOKUP(AR91,$A$1:$AI$70,19,FALSE)+VLOOKUP(AR91,$A$1:$AI$70,20,FALSE)+VLOOKUP(AR91,$A$1:$AI$70,21,FALSE)+VLOOKUP(AR91,$A$1:$AI$70,22,FALSE)+VLOOKUP(AR91,$A$1:$AI$70,23,FALSE)</f>
        <v>0</v>
      </c>
      <c r="AT91" s="1419" t="str">
        <f ca="1">IF(AR91="","",IF($BD$1&lt;=7,IF(VLOOKUP(AR91,$A$2:$AI$70,3,FALSE)=7,VLOOKUP(AR91,$A$2:$AI$70,17,FALSE),0)+IF(VLOOKUP(AR91,$A$2:$AI$70,4,FALSE)=7,VLOOKUP(AR91,$A$2:$AI$70,18,FALSE),0)+IF(VLOOKUP(AR91,$A$2:$AI$70,5,FALSE)=7,VLOOKUP(AR91,$A$2:$AI$70,19,FALSE),0)+IF(VLOOKUP(AR91,$A$2:$AI$70,6,FALSE)=7,VLOOKUP(AR91,$A$2:$AI$70,20,FALSE),0)+IF(VLOOKUP(AR91,$A$2:$AI$70,7,FALSE)=7,VLOOKUP(AR91,$A$2:$AI$70,21,FALSE),0)+IF(VLOOKUP(AR91,$A$2:$AI$70,8,FALSE)=7,VLOOKUP(AR91,$A$2:$AI$70,22,FALSE),0)+IF(VLOOKUP(AR91,$A$2:$AI$70,9,FALSE)=7,VLOOKUP(AR91,$A$2:$AI$70,23,FALSE),0),IF(VLOOKUP(AR91,$A$2:$AI$70,10,FALSE)=7,VLOOKUP(AR91,$A$2:$AI$70,24,FALSE),0)+IF(VLOOKUP(AR91,$A$2:$AI$70,11,FALSE)=7,VLOOKUP(AR91,$A$2:$AI$70,25,FALSE),0)+IF(VLOOKUP(AR91,$A$2:$AI$70,12,FALSE)=7,VLOOKUP(AR91,$A$2:$AI$70,26,FALSE),0)+IF(VLOOKUP(AR91,$A$2:$AI$70,13,FALSE)=7,VLOOKUP(AR91,$A$2:$AI$70,27,FALSE),0)+IF(VLOOKUP(AR91,$A$2:$AI$70,14,FALSE)=7,VLOOKUP(AR91,$A$2:$AI$70,28,FALSE),0)+IF(VLOOKUP(AR91,$A$2:$AI$70,15,FALSE)=7,VLOOKUP(AR91,$A$2:$AI$70,29,FALSE),0)+IF(VLOOKUP(AR91,$A$2:$AI$70,16,FALSE)=7,VLOOKUP(AR91,$A$2:$AI$70,30,FALSE),0)))</f>
        <v/>
      </c>
      <c r="AU91" s="1411" t="str">
        <f ca="1">IF(AR91="","",COUNTIF(AR$76:AX$81,AR91)*AU$92)</f>
        <v/>
      </c>
      <c r="AV91" s="769"/>
      <c r="AW91" s="769"/>
      <c r="AX91" s="1414"/>
      <c r="AY91" s="1588" t="str">
        <f ca="1">VLOOKUP(LARGE($CM$2:$CM$70,10),$CM$2:$CN$70,2,FALSE)</f>
        <v/>
      </c>
      <c r="AZ91" s="1584">
        <f ca="1">VLOOKUP(AY91,$A$1:$AI$70,17,FALSE)+VLOOKUP(AY91,$A$1:$AI$70,18,FALSE)+VLOOKUP(AY91,$A$1:$AI$70,19,FALSE)+VLOOKUP(AY91,$A$1:$AI$70,20,FALSE)+VLOOKUP(AY91,$A$1:$AI$70,21,FALSE)+VLOOKUP(AY91,$A$1:$AI$70,22,FALSE)+VLOOKUP(AY91,$A$1:$AI$70,23,FALSE)</f>
        <v>0</v>
      </c>
      <c r="BA91" s="1419" t="str">
        <f ca="1">IF(AY91="","",IF($BD$1&lt;=7,IF(VLOOKUP(AY91,$A$2:$AI$70,3,FALSE)=8,VLOOKUP(AY91,$A$2:$AI$70,17,FALSE),0)+IF(VLOOKUP(AY91,$A$2:$AI$70,4,FALSE)=8,VLOOKUP(AY91,$A$2:$AI$70,18,FALSE),0)+IF(VLOOKUP(AY91,$A$2:$AI$70,5,FALSE)=8,VLOOKUP(AY91,$A$2:$AI$70,19,FALSE),0)+IF(VLOOKUP(AY91,$A$2:$AI$70,6,FALSE)=8,VLOOKUP(AY91,$A$2:$AI$70,20,FALSE),0)+IF(VLOOKUP(AY91,$A$2:$AI$70,7,FALSE)=8,VLOOKUP(AY91,$A$2:$AI$70,21,FALSE),0)+IF(VLOOKUP(AY91,$A$2:$AI$70,8,FALSE)=8,VLOOKUP(AY91,$A$2:$AI$70,22,FALSE),0)+IF(VLOOKUP(AY91,$A$2:$AI$70,9,FALSE)=8,VLOOKUP(AY91,$A$2:$AI$70,23,FALSE),0),IF(VLOOKUP(AY91,$A$2:$AI$70,10,FALSE)=8,VLOOKUP(AY91,$A$2:$AI$70,24,FALSE),0)+IF(VLOOKUP(AY91,$A$2:$AI$70,11,FALSE)=8,VLOOKUP(AY91,$A$2:$AI$70,25,FALSE),0)+IF(VLOOKUP(AY91,$A$2:$AI$70,12,FALSE)=8,VLOOKUP(AY91,$A$2:$AI$70,26,FALSE),0)+IF(VLOOKUP(AY91,$A$2:$AI$70,13,FALSE)=8,VLOOKUP(AY91,$A$2:$AI$70,27,FALSE),0)+IF(VLOOKUP(AY91,$A$2:$AI$70,14,FALSE)=8,VLOOKUP(AY91,$A$2:$AI$70,28,FALSE),0)+IF(VLOOKUP(AY91,$A$2:$AI$70,15,FALSE)=8,VLOOKUP(AY91,$A$2:$AI$70,29,FALSE),0)+IF(VLOOKUP(AY91,$A$2:$AI$70,16,FALSE)=8,VLOOKUP(AY91,$A$2:$AI$70,30,FALSE),0)))</f>
        <v/>
      </c>
      <c r="BB91" s="1411" t="str">
        <f ca="1">IF(AY91="","",COUNTIF(AY$76:BE$81,AY91)*BB$92)</f>
        <v/>
      </c>
      <c r="BC91" s="769"/>
      <c r="BD91" s="769"/>
      <c r="BE91" s="769"/>
      <c r="BF91" s="769"/>
      <c r="BG91" s="769"/>
      <c r="BH91" s="769"/>
      <c r="BI91" s="769"/>
      <c r="BJ91" s="769"/>
      <c r="BK91" s="769"/>
      <c r="BL91" s="769"/>
      <c r="BM91" s="769"/>
      <c r="BN91" s="769"/>
      <c r="BO91" s="769"/>
      <c r="BP91" s="769"/>
      <c r="BQ91" s="769"/>
      <c r="BR91" s="769"/>
      <c r="BS91" s="769"/>
      <c r="BT91" s="769"/>
      <c r="BU91" s="769"/>
      <c r="BV91" s="1415"/>
      <c r="BW91" s="1415"/>
      <c r="BX91" s="1415"/>
      <c r="BY91" s="1415"/>
      <c r="BZ91" s="1415"/>
      <c r="CA91" s="1415"/>
      <c r="CB91" s="1415"/>
      <c r="CC91" s="1415"/>
      <c r="CD91" s="1415"/>
      <c r="CE91" s="1415"/>
      <c r="CF91" s="1415"/>
      <c r="CG91" s="1415"/>
      <c r="CH91" s="1415"/>
      <c r="CI91" s="1415"/>
      <c r="CJ91" s="1415"/>
      <c r="CK91" s="1415"/>
      <c r="CL91" s="1415"/>
      <c r="CM91" s="1415"/>
      <c r="CN91" s="1415"/>
      <c r="CO91" s="1406"/>
      <c r="CP91" s="81"/>
      <c r="CQ91" s="81"/>
      <c r="DC91" s="1403"/>
      <c r="DD91" s="1405"/>
      <c r="DF91" s="1404"/>
      <c r="DH91" s="86"/>
      <c r="DI91" s="86"/>
      <c r="DK91"/>
      <c r="DL91" s="769"/>
      <c r="DM91" s="554"/>
      <c r="DN91" s="554"/>
      <c r="DO91" s="1401"/>
      <c r="DP91" s="1400"/>
      <c r="DQ91"/>
      <c r="DR91"/>
    </row>
    <row r="92" spans="1:122" ht="15.75">
      <c r="C92" s="769"/>
      <c r="D92" s="769"/>
      <c r="E92" s="769">
        <f>$DF$2</f>
        <v>3</v>
      </c>
      <c r="F92" s="769"/>
      <c r="G92" s="769"/>
      <c r="H92" s="769"/>
      <c r="I92" s="769"/>
      <c r="J92" s="769"/>
      <c r="K92" s="769"/>
      <c r="L92" s="769">
        <f>$DF$3</f>
        <v>3</v>
      </c>
      <c r="M92" s="769"/>
      <c r="N92" s="769"/>
      <c r="O92" s="769"/>
      <c r="P92" s="769"/>
      <c r="Q92" s="769"/>
      <c r="R92" s="769"/>
      <c r="S92" s="769">
        <f>$DF$4</f>
        <v>3</v>
      </c>
      <c r="T92" s="769"/>
      <c r="U92" s="769"/>
      <c r="V92" s="769"/>
      <c r="W92" s="769"/>
      <c r="X92" s="769"/>
      <c r="Y92" s="769"/>
      <c r="Z92" s="769">
        <f>$DF$5</f>
        <v>3</v>
      </c>
      <c r="AA92" s="769"/>
      <c r="AB92" s="769"/>
      <c r="AC92" s="769"/>
      <c r="AD92" s="769"/>
      <c r="AE92" s="769"/>
      <c r="AF92" s="769"/>
      <c r="AG92" s="769">
        <f>$DF$6</f>
        <v>3</v>
      </c>
      <c r="AH92" s="1413"/>
      <c r="AI92" s="769"/>
      <c r="AJ92" s="769"/>
      <c r="AK92" s="769"/>
      <c r="AL92" s="769"/>
      <c r="AM92" s="769"/>
      <c r="AN92" s="769">
        <f>$DF$7</f>
        <v>3</v>
      </c>
      <c r="AO92" s="769"/>
      <c r="AP92" s="769"/>
      <c r="AQ92" s="769"/>
      <c r="AR92" s="769"/>
      <c r="AS92" s="769"/>
      <c r="AT92" s="769"/>
      <c r="AU92" s="769">
        <f>$DF$7</f>
        <v>3</v>
      </c>
      <c r="AV92" s="769"/>
      <c r="AW92" s="769"/>
      <c r="AX92" s="1414"/>
      <c r="AY92" s="1586"/>
      <c r="AZ92" s="1586"/>
      <c r="BA92" s="769"/>
      <c r="BB92" s="769">
        <f>$DF$7</f>
        <v>3</v>
      </c>
      <c r="BC92" s="769"/>
      <c r="BD92" s="769"/>
      <c r="BE92" s="769"/>
      <c r="BF92" s="769"/>
      <c r="BG92" s="769"/>
      <c r="BH92" s="769"/>
      <c r="BI92" s="769"/>
      <c r="BJ92" s="769"/>
      <c r="BK92" s="769"/>
      <c r="BL92" s="769"/>
      <c r="BM92" s="769"/>
      <c r="BN92" s="769"/>
      <c r="BO92" s="769"/>
      <c r="BP92" s="769"/>
      <c r="BQ92" s="769"/>
      <c r="BR92" s="769"/>
      <c r="BS92" s="769"/>
      <c r="BT92" s="769"/>
      <c r="BU92" s="769"/>
      <c r="BV92" s="1415"/>
      <c r="BW92" s="1415"/>
      <c r="BX92" s="1415"/>
      <c r="BY92" s="1415"/>
      <c r="BZ92" s="1415"/>
      <c r="CA92" s="1415"/>
      <c r="CB92" s="1415"/>
      <c r="CC92" s="1415"/>
      <c r="CD92" s="1415"/>
      <c r="CE92" s="1415"/>
      <c r="CF92" s="1415"/>
      <c r="CG92" s="1415"/>
      <c r="CH92" s="1415"/>
      <c r="CI92" s="1415"/>
      <c r="CJ92" s="1415"/>
      <c r="CK92" s="1415"/>
      <c r="CL92" s="1415"/>
      <c r="CM92" s="1415"/>
      <c r="CN92" s="1415"/>
      <c r="CO92" s="1406"/>
      <c r="CP92" s="81"/>
      <c r="CQ92" s="81"/>
      <c r="DC92" s="1403"/>
      <c r="DD92" s="1405"/>
      <c r="DF92" s="1404"/>
      <c r="DH92" s="86"/>
      <c r="DI92" s="86"/>
      <c r="DK92"/>
      <c r="DL92" s="769"/>
      <c r="DM92" s="554"/>
      <c r="DN92" s="554"/>
      <c r="DO92" s="1401"/>
      <c r="DP92" s="1400"/>
      <c r="DQ92"/>
      <c r="DR92"/>
    </row>
    <row r="93" spans="1:122" ht="15.75">
      <c r="C93" s="769"/>
      <c r="D93" s="769"/>
      <c r="E93" s="769"/>
      <c r="F93" s="769"/>
      <c r="G93" s="769"/>
      <c r="H93" s="769"/>
      <c r="I93" s="769"/>
      <c r="J93" s="769"/>
      <c r="K93" s="769"/>
      <c r="L93" s="769"/>
      <c r="M93" s="769"/>
      <c r="N93" s="769"/>
      <c r="O93" s="769"/>
      <c r="P93" s="769"/>
      <c r="Q93" s="769"/>
      <c r="R93" s="769"/>
      <c r="S93" s="769"/>
      <c r="T93" s="769"/>
      <c r="U93" s="769"/>
      <c r="V93" s="769"/>
      <c r="W93" s="769"/>
      <c r="X93" s="769"/>
      <c r="Y93" s="769"/>
      <c r="Z93" s="769"/>
      <c r="AA93" s="769"/>
      <c r="AB93" s="769"/>
      <c r="AC93" s="769"/>
      <c r="AD93" s="769"/>
      <c r="AE93" s="769"/>
      <c r="AF93" s="769"/>
      <c r="AG93" s="769"/>
      <c r="AH93" s="1413"/>
      <c r="AI93" s="769"/>
      <c r="AJ93" s="769"/>
      <c r="AK93" s="769"/>
      <c r="AL93" s="769"/>
      <c r="AM93" s="769"/>
      <c r="AN93" s="769"/>
      <c r="AO93" s="769"/>
      <c r="AP93" s="769"/>
      <c r="AQ93" s="769"/>
      <c r="AR93" s="769"/>
      <c r="AS93" s="769"/>
      <c r="AT93" s="769"/>
      <c r="AU93" s="769"/>
      <c r="AV93" s="769"/>
      <c r="AW93" s="769"/>
      <c r="AX93" s="769"/>
      <c r="AY93" s="1582"/>
      <c r="BA93" s="769"/>
      <c r="BB93" s="769"/>
      <c r="BC93" s="769"/>
      <c r="BD93" s="769"/>
      <c r="BE93" s="769"/>
      <c r="BF93" s="769"/>
      <c r="BG93" s="769"/>
      <c r="BH93" s="769"/>
      <c r="BI93" s="769"/>
      <c r="BJ93" s="769"/>
      <c r="BK93" s="769"/>
      <c r="BL93" s="769"/>
      <c r="BM93" s="769"/>
      <c r="BN93" s="769"/>
      <c r="BO93" s="769"/>
      <c r="BP93" s="769"/>
      <c r="BQ93" s="769"/>
      <c r="BR93" s="769"/>
      <c r="BS93" s="769"/>
      <c r="BT93" s="769"/>
      <c r="BU93" s="769"/>
      <c r="BV93" s="769"/>
      <c r="BW93" s="769"/>
      <c r="BX93" s="1415"/>
      <c r="BY93" s="1415"/>
      <c r="BZ93" s="1415"/>
      <c r="CA93" s="1415"/>
      <c r="CB93" s="1415"/>
      <c r="CC93" s="1415"/>
      <c r="CD93" s="1415"/>
      <c r="CE93" s="1415"/>
      <c r="CF93" s="1415"/>
      <c r="CG93" s="1415"/>
      <c r="CH93" s="1415"/>
      <c r="CI93" s="1415"/>
      <c r="CJ93" s="1415"/>
      <c r="CK93" s="1415"/>
      <c r="CL93" s="1415"/>
      <c r="CM93" s="1415"/>
      <c r="CN93" s="1415"/>
      <c r="CO93" s="1415"/>
      <c r="CP93" s="1415"/>
      <c r="DN93" s="769"/>
    </row>
    <row r="94" spans="1:122" ht="15.75">
      <c r="C94" s="769"/>
      <c r="D94" s="769"/>
      <c r="E94" s="769"/>
      <c r="F94" s="769"/>
      <c r="G94" s="769"/>
      <c r="H94" s="769"/>
      <c r="I94" s="769"/>
      <c r="J94" s="769"/>
      <c r="K94" s="769"/>
      <c r="L94" s="769"/>
      <c r="M94" s="769"/>
      <c r="N94" s="769"/>
      <c r="O94" s="769"/>
      <c r="P94" s="769"/>
      <c r="Q94" s="769"/>
      <c r="R94" s="769"/>
      <c r="S94" s="769"/>
      <c r="T94" s="769"/>
      <c r="U94" s="769"/>
      <c r="V94" s="769"/>
      <c r="W94" s="769"/>
      <c r="X94" s="769"/>
      <c r="Y94" s="769"/>
      <c r="Z94" s="769"/>
      <c r="AA94" s="769"/>
      <c r="AB94" s="769"/>
      <c r="AC94" s="769"/>
      <c r="AD94" s="769"/>
      <c r="AE94" s="769"/>
      <c r="AF94" s="769"/>
      <c r="AG94" s="769"/>
      <c r="AH94" s="1413"/>
      <c r="AI94" s="769"/>
      <c r="AJ94" s="769"/>
      <c r="AK94" s="769"/>
      <c r="AL94" s="769"/>
      <c r="AM94" s="769"/>
      <c r="AN94" s="769"/>
      <c r="AO94" s="769"/>
      <c r="AP94" s="769"/>
      <c r="AQ94" s="769"/>
      <c r="AR94" s="769"/>
      <c r="AS94" s="769"/>
      <c r="AT94" s="769"/>
      <c r="AU94" s="769"/>
      <c r="AV94" s="769"/>
      <c r="AW94" s="769"/>
      <c r="AX94" s="769"/>
      <c r="AY94" s="1582"/>
      <c r="BA94" s="769"/>
      <c r="BB94" s="769"/>
      <c r="BC94" s="769"/>
      <c r="BD94" s="769"/>
      <c r="BE94" s="769"/>
      <c r="BF94" s="769"/>
      <c r="BG94" s="769"/>
      <c r="BH94" s="769"/>
      <c r="BI94" s="769"/>
      <c r="BJ94" s="769"/>
      <c r="BK94" s="769"/>
      <c r="BL94" s="769"/>
      <c r="BM94" s="769"/>
      <c r="BN94" s="769"/>
      <c r="BO94" s="769"/>
      <c r="BP94" s="769"/>
      <c r="BQ94" s="769"/>
      <c r="BR94" s="769"/>
      <c r="BS94" s="769"/>
      <c r="BT94" s="769"/>
      <c r="BU94" s="769"/>
      <c r="BV94" s="769"/>
      <c r="BW94" s="769"/>
      <c r="BX94" s="1415"/>
      <c r="BY94" s="1415"/>
      <c r="BZ94" s="1415"/>
      <c r="CA94" s="1415"/>
      <c r="CB94" s="1415"/>
      <c r="CC94" s="1415"/>
      <c r="CD94" s="1415"/>
      <c r="CE94" s="1415"/>
      <c r="CF94" s="1415"/>
      <c r="CG94" s="1415"/>
      <c r="CH94" s="1415"/>
      <c r="CI94" s="1415"/>
      <c r="CJ94" s="1415"/>
      <c r="CK94" s="1415"/>
      <c r="CL94" s="1415"/>
      <c r="CM94" s="1415"/>
      <c r="CN94" s="1415"/>
      <c r="CO94" s="1415"/>
      <c r="CP94" s="1415"/>
      <c r="DN94" s="769"/>
    </row>
    <row r="95" spans="1:122" ht="15.75">
      <c r="C95" s="769"/>
      <c r="D95" s="769"/>
      <c r="E95" s="769"/>
      <c r="F95" s="769"/>
      <c r="G95" s="769"/>
      <c r="H95" s="769"/>
      <c r="I95" s="769"/>
      <c r="J95" s="769"/>
      <c r="K95" s="769"/>
      <c r="L95" s="769"/>
      <c r="M95" s="769"/>
      <c r="N95" s="769"/>
      <c r="O95" s="769"/>
      <c r="P95" s="769"/>
      <c r="Q95" s="769"/>
      <c r="R95" s="769"/>
      <c r="S95" s="769"/>
      <c r="T95" s="769"/>
      <c r="U95" s="769"/>
      <c r="V95" s="769"/>
      <c r="W95" s="769"/>
      <c r="X95" s="769"/>
      <c r="Y95" s="769"/>
      <c r="Z95" s="769"/>
      <c r="AA95" s="769"/>
      <c r="AB95" s="769"/>
      <c r="AC95" s="769"/>
      <c r="AD95" s="769"/>
      <c r="AE95" s="769"/>
      <c r="AF95" s="769"/>
      <c r="AG95" s="769"/>
      <c r="AH95" s="1413"/>
      <c r="AI95" s="769"/>
      <c r="AJ95" s="769"/>
      <c r="AK95" s="769"/>
      <c r="AL95" s="769"/>
      <c r="AM95" s="769"/>
      <c r="AN95" s="769"/>
      <c r="AO95" s="769"/>
      <c r="AP95" s="769"/>
      <c r="AQ95" s="769"/>
      <c r="AR95" s="769"/>
      <c r="AS95" s="769"/>
      <c r="AT95" s="769"/>
      <c r="AU95" s="769"/>
      <c r="AV95" s="769"/>
      <c r="AW95" s="769"/>
      <c r="AX95" s="769"/>
      <c r="AY95" s="1582"/>
      <c r="BA95" s="769"/>
      <c r="BB95" s="769"/>
      <c r="BC95" s="769"/>
      <c r="BD95" s="769"/>
      <c r="BE95" s="769"/>
      <c r="BF95" s="769"/>
      <c r="BG95" s="769"/>
      <c r="BH95" s="769"/>
      <c r="BI95" s="769"/>
      <c r="BJ95" s="769"/>
      <c r="BK95" s="769"/>
      <c r="BL95" s="769"/>
      <c r="BM95" s="769"/>
      <c r="BN95" s="769"/>
      <c r="BO95" s="769"/>
      <c r="BP95" s="769"/>
      <c r="BQ95" s="769"/>
      <c r="BR95" s="769"/>
      <c r="BS95" s="769"/>
      <c r="BT95" s="769"/>
      <c r="BU95" s="769"/>
      <c r="BV95" s="769"/>
      <c r="BW95" s="769"/>
      <c r="BX95" s="1415"/>
      <c r="BY95" s="1415"/>
      <c r="BZ95" s="1415"/>
      <c r="CA95" s="1415"/>
      <c r="CB95" s="1415"/>
      <c r="CC95" s="1415"/>
      <c r="CD95" s="1415"/>
      <c r="CE95" s="1415"/>
      <c r="CF95" s="1415"/>
      <c r="CG95" s="1415"/>
      <c r="CH95" s="1415"/>
      <c r="CI95" s="1415"/>
      <c r="CJ95" s="1415"/>
      <c r="CK95" s="1415"/>
      <c r="CL95" s="1415"/>
      <c r="CM95" s="1415"/>
      <c r="CN95" s="1415"/>
      <c r="CO95" s="1415"/>
      <c r="CP95" s="1415"/>
      <c r="DN95" s="769"/>
    </row>
    <row r="96" spans="1:122" ht="15.75">
      <c r="C96" s="769"/>
      <c r="D96" s="769"/>
      <c r="E96" s="769"/>
      <c r="F96" s="769"/>
      <c r="G96" s="769"/>
      <c r="H96" s="769"/>
      <c r="I96" s="769"/>
      <c r="J96" s="769"/>
      <c r="K96" s="769"/>
      <c r="L96" s="769"/>
      <c r="M96" s="769"/>
      <c r="N96" s="769"/>
      <c r="O96" s="769"/>
      <c r="P96" s="769"/>
      <c r="Q96" s="769"/>
      <c r="R96" s="769"/>
      <c r="S96" s="769"/>
      <c r="T96" s="769"/>
      <c r="U96" s="769"/>
      <c r="V96" s="769"/>
      <c r="W96" s="769"/>
      <c r="X96" s="769"/>
      <c r="Y96" s="769"/>
      <c r="Z96" s="769"/>
      <c r="AA96" s="769"/>
      <c r="AB96" s="769"/>
      <c r="AC96" s="769"/>
      <c r="AD96" s="769"/>
      <c r="AE96" s="769"/>
      <c r="AF96" s="769"/>
      <c r="AG96" s="769"/>
      <c r="AH96" s="1413"/>
      <c r="AI96" s="769"/>
      <c r="AJ96" s="769"/>
      <c r="AK96" s="769"/>
      <c r="AL96" s="769"/>
      <c r="AM96" s="769"/>
      <c r="AN96" s="769"/>
      <c r="AO96" s="769"/>
      <c r="AP96" s="769"/>
      <c r="AQ96" s="769"/>
      <c r="AR96" s="769"/>
      <c r="AS96" s="769"/>
      <c r="AT96" s="769"/>
      <c r="AU96" s="769"/>
      <c r="AV96" s="769"/>
      <c r="AW96" s="769"/>
      <c r="AX96" s="769"/>
      <c r="AY96" s="1582"/>
      <c r="BA96" s="769"/>
      <c r="BB96" s="769"/>
      <c r="BC96" s="769"/>
      <c r="BD96" s="769"/>
      <c r="BE96" s="769"/>
      <c r="BF96" s="769"/>
      <c r="BG96" s="769"/>
      <c r="BH96" s="769"/>
      <c r="BI96" s="769"/>
      <c r="BJ96" s="769"/>
      <c r="BK96" s="769"/>
      <c r="BL96" s="769"/>
      <c r="BM96" s="769"/>
      <c r="BN96" s="769"/>
      <c r="BO96" s="769"/>
      <c r="BP96" s="769"/>
      <c r="BQ96" s="769"/>
      <c r="BR96" s="769"/>
      <c r="BS96" s="769"/>
      <c r="BT96" s="769"/>
      <c r="BU96" s="769"/>
      <c r="BV96" s="769"/>
      <c r="BW96" s="769"/>
      <c r="BX96" s="1415"/>
      <c r="BY96" s="1415"/>
      <c r="BZ96" s="1415"/>
      <c r="CA96" s="1415"/>
      <c r="CB96" s="1415"/>
      <c r="CC96" s="1415"/>
      <c r="CD96" s="1415"/>
      <c r="CE96" s="1415"/>
      <c r="CF96" s="1415"/>
      <c r="CG96" s="1415"/>
      <c r="CH96" s="1415"/>
      <c r="CI96" s="1415"/>
      <c r="CJ96" s="1415"/>
      <c r="CK96" s="1415"/>
      <c r="CL96" s="1415"/>
      <c r="CM96" s="1415"/>
      <c r="CN96" s="1415"/>
      <c r="CO96" s="1415"/>
      <c r="CP96" s="1415"/>
      <c r="DN96" s="769"/>
    </row>
    <row r="97" spans="1:122" s="554" customFormat="1" ht="15.75">
      <c r="A97" s="769"/>
      <c r="B97" s="1412"/>
      <c r="C97" s="769"/>
      <c r="D97" s="769"/>
      <c r="E97" s="769"/>
      <c r="F97" s="769"/>
      <c r="G97" s="769"/>
      <c r="H97" s="769"/>
      <c r="I97" s="769"/>
      <c r="J97" s="769"/>
      <c r="K97" s="769"/>
      <c r="L97" s="769"/>
      <c r="M97" s="769"/>
      <c r="N97" s="769"/>
      <c r="O97" s="769"/>
      <c r="P97" s="769"/>
      <c r="Q97" s="769"/>
      <c r="R97" s="769"/>
      <c r="S97" s="769"/>
      <c r="T97" s="769"/>
      <c r="U97" s="769"/>
      <c r="V97" s="769"/>
      <c r="W97" s="769"/>
      <c r="X97" s="769"/>
      <c r="Y97" s="769"/>
      <c r="Z97" s="769"/>
      <c r="AA97" s="769"/>
      <c r="AB97" s="769"/>
      <c r="AC97" s="769"/>
      <c r="AD97" s="769"/>
      <c r="AE97" s="769"/>
      <c r="AF97" s="769"/>
      <c r="AG97" s="769"/>
      <c r="AH97" s="1413"/>
      <c r="AI97" s="769"/>
      <c r="AJ97" s="769"/>
      <c r="AK97" s="769"/>
      <c r="AL97" s="769"/>
      <c r="AM97" s="769"/>
      <c r="AN97" s="769"/>
      <c r="AO97" s="769"/>
      <c r="AP97" s="769"/>
      <c r="AQ97" s="769"/>
      <c r="AR97" s="769"/>
      <c r="AS97" s="769"/>
      <c r="AT97" s="769"/>
      <c r="AU97" s="769"/>
      <c r="AV97" s="769"/>
      <c r="AW97" s="769"/>
      <c r="AX97" s="769"/>
      <c r="AY97" s="1582"/>
      <c r="AZ97" s="1583"/>
      <c r="BA97" s="769"/>
      <c r="BB97" s="769"/>
      <c r="BC97" s="769"/>
      <c r="BD97" s="769"/>
      <c r="BE97" s="769"/>
      <c r="BF97" s="769"/>
      <c r="BG97" s="769"/>
      <c r="BH97" s="769"/>
      <c r="BI97" s="769"/>
      <c r="BJ97" s="769"/>
      <c r="BK97" s="769"/>
      <c r="BL97" s="769"/>
      <c r="BM97" s="769"/>
      <c r="BN97" s="769"/>
      <c r="BO97" s="769"/>
      <c r="BP97" s="769"/>
      <c r="BQ97" s="769"/>
      <c r="BR97" s="769"/>
      <c r="BS97" s="769"/>
      <c r="BT97" s="769"/>
      <c r="BU97" s="769"/>
      <c r="BV97" s="769"/>
      <c r="BW97" s="769"/>
      <c r="BX97" s="1415"/>
      <c r="BY97" s="1415"/>
      <c r="BZ97" s="1415"/>
      <c r="CA97" s="1415"/>
      <c r="CB97" s="1415"/>
      <c r="CC97" s="1415"/>
      <c r="CD97" s="1415"/>
      <c r="CE97" s="1415"/>
      <c r="CF97" s="1415"/>
      <c r="CG97" s="1415"/>
      <c r="CH97" s="1415"/>
      <c r="CI97" s="1415"/>
      <c r="CJ97" s="1415"/>
      <c r="CK97" s="1415"/>
      <c r="CL97" s="1415"/>
      <c r="CM97" s="1415"/>
      <c r="CN97" s="1415"/>
      <c r="CO97" s="1415"/>
      <c r="CP97" s="1415"/>
      <c r="CQ97" s="1406"/>
      <c r="CR97" s="81"/>
      <c r="CS97" s="81"/>
      <c r="CT97" s="81"/>
      <c r="CU97" s="81"/>
      <c r="CV97" s="81"/>
      <c r="CW97" s="81"/>
      <c r="CX97" s="81"/>
      <c r="CY97" s="81"/>
      <c r="CZ97" s="81"/>
      <c r="DA97" s="81"/>
      <c r="DB97" s="81"/>
      <c r="DC97" s="81"/>
      <c r="DD97" s="81"/>
      <c r="DE97" s="1403"/>
      <c r="DF97" s="1405"/>
      <c r="DG97" s="1403"/>
      <c r="DH97" s="1404"/>
      <c r="DI97" s="1403"/>
      <c r="DJ97" s="86"/>
      <c r="DK97" s="86"/>
      <c r="DL97" s="86"/>
      <c r="DM97"/>
      <c r="DN97" s="769"/>
      <c r="DQ97" s="1401"/>
      <c r="DR97" s="1400"/>
    </row>
    <row r="98" spans="1:122" s="554" customFormat="1" ht="15.75">
      <c r="A98" s="769"/>
      <c r="B98" s="1412"/>
      <c r="C98" s="769"/>
      <c r="D98" s="769"/>
      <c r="E98" s="769"/>
      <c r="F98" s="769"/>
      <c r="G98" s="769"/>
      <c r="H98" s="769"/>
      <c r="I98" s="769"/>
      <c r="J98" s="769"/>
      <c r="K98" s="769"/>
      <c r="L98" s="769"/>
      <c r="M98" s="769"/>
      <c r="N98" s="769"/>
      <c r="O98" s="769"/>
      <c r="P98" s="769"/>
      <c r="Q98" s="769"/>
      <c r="R98" s="769"/>
      <c r="S98" s="769"/>
      <c r="T98" s="769"/>
      <c r="U98" s="769"/>
      <c r="V98" s="769"/>
      <c r="W98" s="769"/>
      <c r="X98" s="769"/>
      <c r="Y98" s="769"/>
      <c r="Z98" s="769"/>
      <c r="AA98" s="769"/>
      <c r="AB98" s="769"/>
      <c r="AC98" s="769"/>
      <c r="AD98" s="769"/>
      <c r="AE98" s="769"/>
      <c r="AF98" s="769"/>
      <c r="AG98" s="769"/>
      <c r="AH98" s="1413"/>
      <c r="AI98" s="769"/>
      <c r="AJ98" s="769"/>
      <c r="AK98" s="769"/>
      <c r="AL98" s="769"/>
      <c r="AM98" s="769"/>
      <c r="AN98" s="769"/>
      <c r="AO98" s="769"/>
      <c r="AP98" s="769"/>
      <c r="AQ98" s="769"/>
      <c r="AR98" s="769"/>
      <c r="AS98" s="769"/>
      <c r="AT98" s="769"/>
      <c r="AU98" s="769"/>
      <c r="AV98" s="769"/>
      <c r="AW98" s="769"/>
      <c r="AX98" s="769"/>
      <c r="AY98" s="1582"/>
      <c r="AZ98" s="1583"/>
      <c r="BA98" s="769"/>
      <c r="BB98" s="769"/>
      <c r="BC98" s="769"/>
      <c r="BD98" s="769"/>
      <c r="BE98" s="769"/>
      <c r="BF98" s="769"/>
      <c r="BG98" s="769"/>
      <c r="BH98" s="769"/>
      <c r="BI98" s="769"/>
      <c r="BJ98" s="769"/>
      <c r="BK98" s="769"/>
      <c r="BL98" s="769"/>
      <c r="BM98" s="769"/>
      <c r="BN98" s="769"/>
      <c r="BO98" s="769"/>
      <c r="BP98" s="769"/>
      <c r="BQ98" s="769"/>
      <c r="BR98" s="769"/>
      <c r="BS98" s="769"/>
      <c r="BT98" s="769"/>
      <c r="BU98" s="769"/>
      <c r="BV98" s="769"/>
      <c r="BW98" s="769"/>
      <c r="BX98" s="1415"/>
      <c r="BY98" s="1415"/>
      <c r="BZ98" s="1415"/>
      <c r="CA98" s="1415"/>
      <c r="CB98" s="1415"/>
      <c r="CC98" s="1415"/>
      <c r="CD98" s="1415"/>
      <c r="CE98" s="1415"/>
      <c r="CF98" s="1415"/>
      <c r="CG98" s="1415"/>
      <c r="CH98" s="1415"/>
      <c r="CI98" s="1415"/>
      <c r="CJ98" s="1415"/>
      <c r="CK98" s="1415"/>
      <c r="CL98" s="1415"/>
      <c r="CM98" s="1415"/>
      <c r="CN98" s="1415"/>
      <c r="CO98" s="1415"/>
      <c r="CP98" s="1415"/>
      <c r="CQ98" s="1406"/>
      <c r="CR98" s="81"/>
      <c r="CS98" s="81"/>
      <c r="CT98" s="81"/>
      <c r="CU98" s="81"/>
      <c r="CV98" s="81"/>
      <c r="CW98" s="81"/>
      <c r="CX98" s="81"/>
      <c r="CY98" s="81"/>
      <c r="CZ98" s="81"/>
      <c r="DA98" s="81"/>
      <c r="DB98" s="81"/>
      <c r="DC98" s="81"/>
      <c r="DD98" s="81"/>
      <c r="DE98" s="1403"/>
      <c r="DF98" s="1405"/>
      <c r="DG98" s="1403"/>
      <c r="DH98" s="1404"/>
      <c r="DI98" s="1403"/>
      <c r="DJ98" s="86"/>
      <c r="DK98" s="86"/>
      <c r="DL98" s="86"/>
      <c r="DM98"/>
      <c r="DN98" s="769"/>
      <c r="DQ98" s="1401"/>
      <c r="DR98" s="1400"/>
    </row>
    <row r="99" spans="1:122" s="554" customFormat="1" ht="15.75">
      <c r="A99" s="769"/>
      <c r="B99" s="1412"/>
      <c r="C99" s="769"/>
      <c r="D99" s="769"/>
      <c r="E99" s="769"/>
      <c r="F99" s="769"/>
      <c r="G99" s="769"/>
      <c r="H99" s="769"/>
      <c r="I99" s="769"/>
      <c r="J99" s="769"/>
      <c r="K99" s="769"/>
      <c r="L99" s="769"/>
      <c r="M99" s="769"/>
      <c r="N99" s="769"/>
      <c r="O99" s="769"/>
      <c r="P99" s="769"/>
      <c r="Q99" s="769"/>
      <c r="R99" s="769"/>
      <c r="S99" s="769"/>
      <c r="T99" s="769"/>
      <c r="U99" s="769"/>
      <c r="V99" s="769"/>
      <c r="W99" s="769"/>
      <c r="X99" s="769"/>
      <c r="Y99" s="769"/>
      <c r="Z99" s="769"/>
      <c r="AA99" s="769"/>
      <c r="AB99" s="769"/>
      <c r="AC99" s="769"/>
      <c r="AD99" s="769"/>
      <c r="AE99" s="769"/>
      <c r="AF99" s="769"/>
      <c r="AG99" s="769"/>
      <c r="AH99" s="1413"/>
      <c r="AI99" s="769"/>
      <c r="AJ99" s="769"/>
      <c r="AK99" s="769"/>
      <c r="AL99" s="769"/>
      <c r="AM99" s="769"/>
      <c r="AN99" s="769"/>
      <c r="AO99" s="769"/>
      <c r="AP99" s="769"/>
      <c r="AQ99" s="769"/>
      <c r="AR99" s="769"/>
      <c r="AS99" s="769"/>
      <c r="AT99" s="769"/>
      <c r="AU99" s="769"/>
      <c r="AV99" s="769"/>
      <c r="AW99" s="769"/>
      <c r="AX99" s="769"/>
      <c r="AY99" s="1582"/>
      <c r="AZ99" s="1583"/>
      <c r="BA99" s="769"/>
      <c r="BB99" s="769"/>
      <c r="BC99" s="769"/>
      <c r="BD99" s="769"/>
      <c r="BE99" s="769"/>
      <c r="BF99" s="769"/>
      <c r="BG99" s="769"/>
      <c r="BH99" s="769"/>
      <c r="BI99" s="769"/>
      <c r="BJ99" s="769"/>
      <c r="BK99" s="769"/>
      <c r="BL99" s="769"/>
      <c r="BM99" s="769"/>
      <c r="BN99" s="769"/>
      <c r="BO99" s="769"/>
      <c r="BP99" s="769"/>
      <c r="BQ99" s="769"/>
      <c r="BR99" s="769"/>
      <c r="BS99" s="769"/>
      <c r="BT99" s="769"/>
      <c r="BU99" s="769"/>
      <c r="BV99" s="769"/>
      <c r="BW99" s="769"/>
      <c r="BX99" s="1415"/>
      <c r="BY99" s="1415"/>
      <c r="BZ99" s="1415"/>
      <c r="CA99" s="1415"/>
      <c r="CB99" s="1415"/>
      <c r="CC99" s="1415"/>
      <c r="CD99" s="1415"/>
      <c r="CE99" s="1415"/>
      <c r="CF99" s="1415"/>
      <c r="CG99" s="1415"/>
      <c r="CH99" s="1415"/>
      <c r="CI99" s="1415"/>
      <c r="CJ99" s="1415"/>
      <c r="CK99" s="1415"/>
      <c r="CL99" s="1415"/>
      <c r="CM99" s="1415"/>
      <c r="CN99" s="1415"/>
      <c r="CO99" s="1415"/>
      <c r="CP99" s="1415"/>
      <c r="CQ99" s="1406"/>
      <c r="CR99" s="81"/>
      <c r="CS99" s="81"/>
      <c r="CT99" s="81"/>
      <c r="CU99" s="81"/>
      <c r="CV99" s="81"/>
      <c r="CW99" s="81"/>
      <c r="CX99" s="81"/>
      <c r="CY99" s="81"/>
      <c r="CZ99" s="81"/>
      <c r="DA99" s="81"/>
      <c r="DB99" s="81"/>
      <c r="DC99" s="81"/>
      <c r="DD99" s="81"/>
      <c r="DE99" s="1403"/>
      <c r="DF99" s="1405"/>
      <c r="DG99" s="1403"/>
      <c r="DH99" s="1404"/>
      <c r="DI99" s="1403"/>
      <c r="DJ99" s="86"/>
      <c r="DK99" s="86"/>
      <c r="DL99" s="86"/>
      <c r="DM99"/>
      <c r="DN99" s="769"/>
      <c r="DQ99" s="1401"/>
      <c r="DR99" s="1400"/>
    </row>
    <row r="100" spans="1:122" s="554" customFormat="1" ht="15.75">
      <c r="A100" s="769"/>
      <c r="B100" s="1412"/>
      <c r="C100" s="769"/>
      <c r="D100" s="769"/>
      <c r="E100" s="769"/>
      <c r="F100" s="769"/>
      <c r="G100" s="769"/>
      <c r="H100" s="769"/>
      <c r="I100" s="769"/>
      <c r="J100" s="769"/>
      <c r="K100" s="769"/>
      <c r="L100" s="769"/>
      <c r="M100" s="769"/>
      <c r="N100" s="769"/>
      <c r="O100" s="769"/>
      <c r="P100" s="769"/>
      <c r="Q100" s="769"/>
      <c r="R100" s="769"/>
      <c r="S100" s="769"/>
      <c r="T100" s="769"/>
      <c r="U100" s="769"/>
      <c r="V100" s="769"/>
      <c r="W100" s="769"/>
      <c r="X100" s="769"/>
      <c r="Y100" s="769"/>
      <c r="Z100" s="769"/>
      <c r="AA100" s="769"/>
      <c r="AB100" s="769"/>
      <c r="AC100" s="769"/>
      <c r="AD100" s="769"/>
      <c r="AE100" s="769"/>
      <c r="AF100" s="769"/>
      <c r="AG100" s="769"/>
      <c r="AH100" s="1413"/>
      <c r="AI100" s="769"/>
      <c r="AJ100" s="769"/>
      <c r="AK100" s="769"/>
      <c r="AL100" s="769"/>
      <c r="AM100" s="769"/>
      <c r="AN100" s="769"/>
      <c r="AO100" s="769"/>
      <c r="AP100" s="769"/>
      <c r="AQ100" s="769"/>
      <c r="AR100" s="769"/>
      <c r="AS100" s="769"/>
      <c r="AT100" s="769"/>
      <c r="AU100" s="769"/>
      <c r="AV100" s="769"/>
      <c r="AW100" s="769"/>
      <c r="AX100" s="769"/>
      <c r="AY100" s="1582"/>
      <c r="AZ100" s="1583"/>
      <c r="BA100" s="769"/>
      <c r="BB100" s="769"/>
      <c r="BC100" s="769"/>
      <c r="BD100" s="769"/>
      <c r="BE100" s="769"/>
      <c r="BF100" s="769"/>
      <c r="BG100" s="769"/>
      <c r="BH100" s="769"/>
      <c r="BI100" s="769"/>
      <c r="BJ100" s="769"/>
      <c r="BK100" s="769"/>
      <c r="BL100" s="769"/>
      <c r="BM100" s="769"/>
      <c r="BN100" s="769"/>
      <c r="BO100" s="769"/>
      <c r="BP100" s="769"/>
      <c r="BQ100" s="769"/>
      <c r="BR100" s="769"/>
      <c r="BS100" s="769"/>
      <c r="BT100" s="769"/>
      <c r="BU100" s="769"/>
      <c r="BV100" s="769"/>
      <c r="BW100" s="769"/>
      <c r="BX100" s="1415"/>
      <c r="BY100" s="1415"/>
      <c r="BZ100" s="1415"/>
      <c r="CA100" s="1415"/>
      <c r="CB100" s="1415"/>
      <c r="CC100" s="1415"/>
      <c r="CD100" s="1415"/>
      <c r="CE100" s="1415"/>
      <c r="CF100" s="1415"/>
      <c r="CG100" s="1415"/>
      <c r="CH100" s="1415"/>
      <c r="CI100" s="1415"/>
      <c r="CJ100" s="1415"/>
      <c r="CK100" s="1415"/>
      <c r="CL100" s="1415"/>
      <c r="CM100" s="1415"/>
      <c r="CN100" s="1415"/>
      <c r="CO100" s="1415"/>
      <c r="CP100" s="1415"/>
      <c r="CQ100" s="1406"/>
      <c r="CR100" s="81"/>
      <c r="CS100" s="81"/>
      <c r="CT100" s="81"/>
      <c r="CU100" s="81"/>
      <c r="CV100" s="81"/>
      <c r="CW100" s="81"/>
      <c r="CX100" s="81"/>
      <c r="CY100" s="81"/>
      <c r="CZ100" s="81"/>
      <c r="DA100" s="81"/>
      <c r="DB100" s="81"/>
      <c r="DC100" s="81"/>
      <c r="DD100" s="81"/>
      <c r="DE100" s="1403"/>
      <c r="DF100" s="1405"/>
      <c r="DG100" s="1403"/>
      <c r="DH100" s="1404"/>
      <c r="DI100" s="1403"/>
      <c r="DJ100" s="86"/>
      <c r="DK100" s="86"/>
      <c r="DL100" s="86"/>
      <c r="DM100"/>
      <c r="DN100" s="769"/>
      <c r="DQ100" s="1401"/>
      <c r="DR100" s="1400"/>
    </row>
    <row r="101" spans="1:122" s="554" customFormat="1" ht="15.75">
      <c r="A101" s="769"/>
      <c r="B101" s="1412"/>
      <c r="C101" s="769"/>
      <c r="D101" s="769"/>
      <c r="E101" s="769"/>
      <c r="F101" s="769"/>
      <c r="G101" s="769"/>
      <c r="H101" s="769"/>
      <c r="I101" s="769"/>
      <c r="J101" s="769"/>
      <c r="K101" s="769"/>
      <c r="L101" s="769"/>
      <c r="M101" s="769"/>
      <c r="N101" s="769"/>
      <c r="O101" s="769"/>
      <c r="P101" s="769"/>
      <c r="Q101" s="769"/>
      <c r="R101" s="769"/>
      <c r="S101" s="769"/>
      <c r="T101" s="769"/>
      <c r="U101" s="769"/>
      <c r="V101" s="769"/>
      <c r="W101" s="769"/>
      <c r="X101" s="769"/>
      <c r="Y101" s="769"/>
      <c r="Z101" s="769"/>
      <c r="AA101" s="769"/>
      <c r="AB101" s="769"/>
      <c r="AC101" s="769"/>
      <c r="AD101" s="769"/>
      <c r="AE101" s="769"/>
      <c r="AF101" s="769"/>
      <c r="AG101" s="769"/>
      <c r="AH101" s="1413"/>
      <c r="AI101" s="769"/>
      <c r="AJ101" s="769"/>
      <c r="AK101" s="769"/>
      <c r="AL101" s="769"/>
      <c r="AM101" s="769"/>
      <c r="AN101" s="769"/>
      <c r="AO101" s="769"/>
      <c r="AP101" s="769"/>
      <c r="AQ101" s="769"/>
      <c r="AR101" s="769"/>
      <c r="AS101" s="769"/>
      <c r="AT101" s="769"/>
      <c r="AU101" s="769"/>
      <c r="AV101" s="769"/>
      <c r="AW101" s="769"/>
      <c r="AX101" s="769"/>
      <c r="AY101" s="1582"/>
      <c r="AZ101" s="1583"/>
      <c r="BA101" s="769"/>
      <c r="BB101" s="769"/>
      <c r="BC101" s="769"/>
      <c r="BD101" s="769"/>
      <c r="BE101" s="769"/>
      <c r="BF101" s="769"/>
      <c r="BG101" s="769"/>
      <c r="BH101" s="769"/>
      <c r="BI101" s="769"/>
      <c r="BJ101" s="769"/>
      <c r="BK101" s="769"/>
      <c r="BL101" s="769"/>
      <c r="BM101" s="769"/>
      <c r="BN101" s="769"/>
      <c r="BO101" s="769"/>
      <c r="BP101" s="769"/>
      <c r="BQ101" s="769"/>
      <c r="BR101" s="769"/>
      <c r="BS101" s="769"/>
      <c r="BT101" s="769"/>
      <c r="BU101" s="769"/>
      <c r="BV101" s="769"/>
      <c r="BW101" s="769"/>
      <c r="BX101" s="1415"/>
      <c r="BY101" s="1415"/>
      <c r="BZ101" s="1415"/>
      <c r="CA101" s="1415"/>
      <c r="CB101" s="1415"/>
      <c r="CC101" s="1415"/>
      <c r="CD101" s="1415"/>
      <c r="CE101" s="1415"/>
      <c r="CF101" s="1415"/>
      <c r="CG101" s="1415"/>
      <c r="CH101" s="1415"/>
      <c r="CI101" s="1415"/>
      <c r="CJ101" s="1415"/>
      <c r="CK101" s="1415"/>
      <c r="CL101" s="1415"/>
      <c r="CM101" s="1415"/>
      <c r="CN101" s="1415"/>
      <c r="CO101" s="1415"/>
      <c r="CP101" s="1415"/>
      <c r="CQ101" s="1406"/>
      <c r="CR101" s="81"/>
      <c r="CS101" s="81"/>
      <c r="CT101" s="81"/>
      <c r="CU101" s="81"/>
      <c r="CV101" s="81"/>
      <c r="CW101" s="81"/>
      <c r="CX101" s="81"/>
      <c r="CY101" s="81"/>
      <c r="CZ101" s="81"/>
      <c r="DA101" s="81"/>
      <c r="DB101" s="81"/>
      <c r="DC101" s="81"/>
      <c r="DD101" s="81"/>
      <c r="DE101" s="1403"/>
      <c r="DF101" s="1405"/>
      <c r="DG101" s="1403"/>
      <c r="DH101" s="1404"/>
      <c r="DI101" s="1403"/>
      <c r="DJ101" s="86"/>
      <c r="DK101" s="86"/>
      <c r="DL101" s="86"/>
      <c r="DM101"/>
      <c r="DN101" s="769"/>
      <c r="DQ101" s="1401"/>
      <c r="DR101" s="1400"/>
    </row>
    <row r="102" spans="1:122" s="554" customFormat="1" ht="15.75">
      <c r="A102" s="769"/>
      <c r="B102" s="1412"/>
      <c r="C102" s="769"/>
      <c r="D102" s="769"/>
      <c r="E102" s="769"/>
      <c r="F102" s="769"/>
      <c r="G102" s="769"/>
      <c r="H102" s="769"/>
      <c r="I102" s="769"/>
      <c r="J102" s="769"/>
      <c r="K102" s="769"/>
      <c r="L102" s="769"/>
      <c r="M102" s="769"/>
      <c r="N102" s="769"/>
      <c r="O102" s="769"/>
      <c r="P102" s="769"/>
      <c r="Q102" s="769"/>
      <c r="R102" s="769"/>
      <c r="S102" s="769"/>
      <c r="T102" s="769"/>
      <c r="U102" s="769"/>
      <c r="V102" s="769"/>
      <c r="W102" s="769"/>
      <c r="X102" s="769"/>
      <c r="Y102" s="769"/>
      <c r="Z102" s="769"/>
      <c r="AA102" s="769"/>
      <c r="AB102" s="769"/>
      <c r="AC102" s="769"/>
      <c r="AD102" s="769"/>
      <c r="AE102" s="769"/>
      <c r="AF102" s="769"/>
      <c r="AG102" s="769"/>
      <c r="AH102" s="1413"/>
      <c r="AI102" s="769"/>
      <c r="AJ102" s="769"/>
      <c r="AK102" s="769"/>
      <c r="AL102" s="769"/>
      <c r="AM102" s="769"/>
      <c r="AN102" s="769"/>
      <c r="AO102" s="769"/>
      <c r="AP102" s="769"/>
      <c r="AQ102" s="769"/>
      <c r="AR102" s="769"/>
      <c r="AS102" s="769"/>
      <c r="AT102" s="769"/>
      <c r="AU102" s="769"/>
      <c r="AV102" s="769"/>
      <c r="AW102" s="769"/>
      <c r="AX102" s="769"/>
      <c r="AY102" s="1582"/>
      <c r="AZ102" s="1583"/>
      <c r="BA102" s="769"/>
      <c r="BB102" s="769"/>
      <c r="BC102" s="769"/>
      <c r="BD102" s="769"/>
      <c r="BE102" s="769"/>
      <c r="BF102" s="769"/>
      <c r="BG102" s="769"/>
      <c r="BH102" s="769"/>
      <c r="BI102" s="769"/>
      <c r="BJ102" s="769"/>
      <c r="BK102" s="769"/>
      <c r="BL102" s="769"/>
      <c r="BM102" s="769"/>
      <c r="BN102" s="769"/>
      <c r="BO102" s="769"/>
      <c r="BP102" s="769"/>
      <c r="BQ102" s="769"/>
      <c r="BR102" s="769"/>
      <c r="BS102" s="769"/>
      <c r="BT102" s="769"/>
      <c r="BU102" s="769"/>
      <c r="BV102" s="769"/>
      <c r="BW102" s="769"/>
      <c r="BX102" s="1415"/>
      <c r="BY102" s="1415"/>
      <c r="BZ102" s="1415"/>
      <c r="CA102" s="1415"/>
      <c r="CB102" s="1415"/>
      <c r="CC102" s="1415"/>
      <c r="CD102" s="1415"/>
      <c r="CE102" s="1415"/>
      <c r="CF102" s="1415"/>
      <c r="CG102" s="1415"/>
      <c r="CH102" s="1415"/>
      <c r="CI102" s="1415"/>
      <c r="CJ102" s="1415"/>
      <c r="CK102" s="1415"/>
      <c r="CL102" s="1415"/>
      <c r="CM102" s="1415"/>
      <c r="CN102" s="1415"/>
      <c r="CO102" s="1415"/>
      <c r="CP102" s="1415"/>
      <c r="CQ102" s="1406"/>
      <c r="CR102" s="81"/>
      <c r="CS102" s="81"/>
      <c r="CT102" s="81"/>
      <c r="CU102" s="81"/>
      <c r="CV102" s="81"/>
      <c r="CW102" s="81"/>
      <c r="CX102" s="81"/>
      <c r="CY102" s="81"/>
      <c r="CZ102" s="81"/>
      <c r="DA102" s="81"/>
      <c r="DB102" s="81"/>
      <c r="DC102" s="81"/>
      <c r="DD102" s="81"/>
      <c r="DE102" s="1403"/>
      <c r="DF102" s="1405"/>
      <c r="DG102" s="1403"/>
      <c r="DH102" s="1404"/>
      <c r="DI102" s="1403"/>
      <c r="DJ102" s="86"/>
      <c r="DK102" s="86"/>
      <c r="DL102" s="86"/>
      <c r="DM102"/>
      <c r="DN102" s="769"/>
      <c r="DQ102" s="1401"/>
      <c r="DR102" s="1400"/>
    </row>
    <row r="103" spans="1:122" s="554" customFormat="1" ht="15.75">
      <c r="A103" s="769"/>
      <c r="B103" s="1412"/>
      <c r="C103" s="769"/>
      <c r="D103" s="769"/>
      <c r="E103" s="769"/>
      <c r="F103" s="769"/>
      <c r="G103" s="769"/>
      <c r="H103" s="769"/>
      <c r="I103" s="769"/>
      <c r="J103" s="769"/>
      <c r="K103" s="769"/>
      <c r="L103" s="769"/>
      <c r="M103" s="769"/>
      <c r="N103" s="769"/>
      <c r="O103" s="769"/>
      <c r="P103" s="769"/>
      <c r="Q103" s="769"/>
      <c r="R103" s="769"/>
      <c r="S103" s="769"/>
      <c r="T103" s="769"/>
      <c r="U103" s="769"/>
      <c r="V103" s="769"/>
      <c r="W103" s="769"/>
      <c r="X103" s="769"/>
      <c r="Y103" s="769"/>
      <c r="Z103" s="769"/>
      <c r="AA103" s="769"/>
      <c r="AB103" s="769"/>
      <c r="AC103" s="769"/>
      <c r="AD103" s="769"/>
      <c r="AE103" s="769"/>
      <c r="AF103" s="769"/>
      <c r="AG103" s="769"/>
      <c r="AH103" s="1413"/>
      <c r="AI103" s="769"/>
      <c r="AJ103" s="769"/>
      <c r="AK103" s="769"/>
      <c r="AL103" s="769"/>
      <c r="AM103" s="769"/>
      <c r="AN103" s="769"/>
      <c r="AO103" s="769"/>
      <c r="AP103" s="769"/>
      <c r="AQ103" s="769"/>
      <c r="AR103" s="769"/>
      <c r="AS103" s="769"/>
      <c r="AT103" s="769"/>
      <c r="AU103" s="769"/>
      <c r="AV103" s="769"/>
      <c r="AW103" s="769"/>
      <c r="AX103" s="769"/>
      <c r="AY103" s="1582"/>
      <c r="AZ103" s="1583"/>
      <c r="BA103" s="769"/>
      <c r="BB103" s="769"/>
      <c r="BC103" s="769"/>
      <c r="BD103" s="769"/>
      <c r="BE103" s="769"/>
      <c r="BF103" s="769"/>
      <c r="BG103" s="769"/>
      <c r="BH103" s="769"/>
      <c r="BI103" s="769"/>
      <c r="BJ103" s="769"/>
      <c r="BK103" s="769"/>
      <c r="BL103" s="769"/>
      <c r="BM103" s="769"/>
      <c r="BN103" s="769"/>
      <c r="BO103" s="769"/>
      <c r="BP103" s="769"/>
      <c r="BQ103" s="769"/>
      <c r="BR103" s="769"/>
      <c r="BS103" s="769"/>
      <c r="BT103" s="769"/>
      <c r="BU103" s="769"/>
      <c r="BV103" s="769"/>
      <c r="BW103" s="769"/>
      <c r="BX103" s="1415"/>
      <c r="BY103" s="1415"/>
      <c r="BZ103" s="1415"/>
      <c r="CA103" s="1415"/>
      <c r="CB103" s="1415"/>
      <c r="CC103" s="1415"/>
      <c r="CD103" s="1415"/>
      <c r="CE103" s="1415"/>
      <c r="CF103" s="1415"/>
      <c r="CG103" s="1415"/>
      <c r="CH103" s="1415"/>
      <c r="CI103" s="1415"/>
      <c r="CJ103" s="1415"/>
      <c r="CK103" s="1415"/>
      <c r="CL103" s="1415"/>
      <c r="CM103" s="1415"/>
      <c r="CN103" s="1415"/>
      <c r="CO103" s="1415"/>
      <c r="CP103" s="1415"/>
      <c r="CQ103" s="1406"/>
      <c r="CR103" s="81"/>
      <c r="CS103" s="81"/>
      <c r="CT103" s="81"/>
      <c r="CU103" s="81"/>
      <c r="CV103" s="81"/>
      <c r="CW103" s="81"/>
      <c r="CX103" s="81"/>
      <c r="CY103" s="81"/>
      <c r="CZ103" s="81"/>
      <c r="DA103" s="81"/>
      <c r="DB103" s="81"/>
      <c r="DC103" s="81"/>
      <c r="DD103" s="81"/>
      <c r="DE103" s="1403"/>
      <c r="DF103" s="1405"/>
      <c r="DG103" s="1403"/>
      <c r="DH103" s="1404"/>
      <c r="DI103" s="1403"/>
      <c r="DJ103" s="86"/>
      <c r="DK103" s="86"/>
      <c r="DL103" s="86"/>
      <c r="DM103"/>
      <c r="DN103" s="769"/>
      <c r="DQ103" s="1401"/>
      <c r="DR103" s="1400"/>
    </row>
    <row r="104" spans="1:122" s="554" customFormat="1" ht="15.75">
      <c r="A104" s="1418"/>
      <c r="B104" s="1412"/>
      <c r="C104" s="769"/>
      <c r="D104" s="769"/>
      <c r="E104" s="769"/>
      <c r="F104" s="769"/>
      <c r="G104" s="769"/>
      <c r="H104" s="769"/>
      <c r="I104" s="769"/>
      <c r="J104" s="769"/>
      <c r="K104" s="769"/>
      <c r="L104" s="769"/>
      <c r="M104" s="769"/>
      <c r="N104" s="769"/>
      <c r="O104" s="769"/>
      <c r="P104" s="769"/>
      <c r="Q104" s="769"/>
      <c r="R104" s="769"/>
      <c r="S104" s="769"/>
      <c r="T104" s="769"/>
      <c r="U104" s="769"/>
      <c r="V104" s="769"/>
      <c r="W104" s="769"/>
      <c r="X104" s="769"/>
      <c r="Y104" s="769"/>
      <c r="Z104" s="769"/>
      <c r="AA104" s="769"/>
      <c r="AB104" s="769"/>
      <c r="AC104" s="769"/>
      <c r="AD104" s="769"/>
      <c r="AE104" s="769"/>
      <c r="AF104" s="769"/>
      <c r="AG104" s="769"/>
      <c r="AH104" s="1413"/>
      <c r="AI104" s="769"/>
      <c r="AJ104" s="769"/>
      <c r="AK104" s="769"/>
      <c r="AL104" s="769"/>
      <c r="AM104" s="769"/>
      <c r="AN104" s="769"/>
      <c r="AO104" s="769"/>
      <c r="AP104" s="769"/>
      <c r="AQ104" s="769"/>
      <c r="AR104" s="769"/>
      <c r="AS104" s="769"/>
      <c r="AT104" s="769"/>
      <c r="AU104" s="769"/>
      <c r="AV104" s="769"/>
      <c r="AW104" s="769"/>
      <c r="AX104" s="769"/>
      <c r="AY104" s="1582"/>
      <c r="AZ104" s="1583"/>
      <c r="BA104" s="769"/>
      <c r="BB104" s="769"/>
      <c r="BC104" s="769"/>
      <c r="BD104" s="769"/>
      <c r="BE104" s="769"/>
      <c r="BF104" s="769"/>
      <c r="BG104" s="769"/>
      <c r="BH104" s="769"/>
      <c r="BI104" s="769"/>
      <c r="BJ104" s="769"/>
      <c r="BK104" s="769"/>
      <c r="BL104" s="769"/>
      <c r="BM104" s="769"/>
      <c r="BN104" s="769"/>
      <c r="BO104" s="769"/>
      <c r="BP104" s="769"/>
      <c r="BQ104" s="769"/>
      <c r="BR104" s="769"/>
      <c r="BS104" s="769"/>
      <c r="BT104" s="769"/>
      <c r="BU104" s="769"/>
      <c r="BV104" s="769"/>
      <c r="BW104" s="769"/>
      <c r="BX104" s="1415"/>
      <c r="BY104" s="1415"/>
      <c r="BZ104" s="1415"/>
      <c r="CA104" s="1415"/>
      <c r="CB104" s="1415"/>
      <c r="CC104" s="1415"/>
      <c r="CD104" s="1415"/>
      <c r="CE104" s="1415"/>
      <c r="CF104" s="1415"/>
      <c r="CG104" s="1415"/>
      <c r="CH104" s="1415"/>
      <c r="CI104" s="1415"/>
      <c r="CJ104" s="1415"/>
      <c r="CK104" s="1415"/>
      <c r="CL104" s="1415"/>
      <c r="CM104" s="1415"/>
      <c r="CN104" s="1415"/>
      <c r="CO104" s="1415"/>
      <c r="CP104" s="1415"/>
      <c r="CQ104" s="1406"/>
      <c r="CR104" s="81"/>
      <c r="CS104" s="81"/>
      <c r="CT104" s="81"/>
      <c r="CU104" s="81"/>
      <c r="CV104" s="81"/>
      <c r="CW104" s="81"/>
      <c r="CX104" s="81"/>
      <c r="CY104" s="81"/>
      <c r="CZ104" s="81"/>
      <c r="DA104" s="81"/>
      <c r="DB104" s="81"/>
      <c r="DC104" s="81"/>
      <c r="DD104" s="81"/>
      <c r="DE104" s="1403"/>
      <c r="DF104" s="1405"/>
      <c r="DG104" s="1403"/>
      <c r="DH104" s="1404"/>
      <c r="DI104" s="1403"/>
      <c r="DJ104" s="86"/>
      <c r="DK104" s="86"/>
      <c r="DL104" s="86"/>
      <c r="DM104"/>
      <c r="DN104" s="769"/>
      <c r="DQ104" s="1401"/>
      <c r="DR104" s="1400"/>
    </row>
    <row r="105" spans="1:122" s="554" customFormat="1" ht="15.75">
      <c r="A105" s="1417"/>
      <c r="B105" s="1412"/>
      <c r="C105" s="769"/>
      <c r="D105" s="769"/>
      <c r="E105" s="769"/>
      <c r="F105" s="769"/>
      <c r="G105" s="769"/>
      <c r="H105" s="769"/>
      <c r="I105" s="769"/>
      <c r="J105" s="769"/>
      <c r="K105" s="769"/>
      <c r="L105" s="769"/>
      <c r="M105" s="769"/>
      <c r="N105" s="769"/>
      <c r="O105" s="769"/>
      <c r="P105" s="769"/>
      <c r="Q105" s="769"/>
      <c r="R105" s="769"/>
      <c r="S105" s="769"/>
      <c r="T105" s="769"/>
      <c r="U105" s="769"/>
      <c r="V105" s="769"/>
      <c r="W105" s="769"/>
      <c r="X105" s="769"/>
      <c r="Y105" s="769"/>
      <c r="Z105" s="769"/>
      <c r="AA105" s="769"/>
      <c r="AB105" s="769"/>
      <c r="AC105" s="769"/>
      <c r="AD105" s="769"/>
      <c r="AE105" s="769"/>
      <c r="AF105" s="769"/>
      <c r="AG105" s="769"/>
      <c r="AH105" s="1413"/>
      <c r="AI105" s="769"/>
      <c r="AJ105" s="769"/>
      <c r="AK105" s="769"/>
      <c r="AL105" s="769"/>
      <c r="AM105" s="769"/>
      <c r="AN105" s="769"/>
      <c r="AO105" s="769"/>
      <c r="AP105" s="769"/>
      <c r="AQ105" s="769"/>
      <c r="AR105" s="769"/>
      <c r="AS105" s="769"/>
      <c r="AT105" s="769"/>
      <c r="AU105" s="769"/>
      <c r="AV105" s="769"/>
      <c r="AW105" s="769"/>
      <c r="AX105" s="769"/>
      <c r="AY105" s="1582"/>
      <c r="AZ105" s="1583"/>
      <c r="BA105" s="769"/>
      <c r="BB105" s="769"/>
      <c r="BC105" s="769"/>
      <c r="BD105" s="769"/>
      <c r="BE105" s="769"/>
      <c r="BF105" s="769"/>
      <c r="BG105" s="769"/>
      <c r="BH105" s="769"/>
      <c r="BI105" s="769"/>
      <c r="BJ105" s="769"/>
      <c r="BK105" s="769"/>
      <c r="BL105" s="769"/>
      <c r="BM105" s="769"/>
      <c r="BN105" s="769"/>
      <c r="BO105" s="769"/>
      <c r="BP105" s="769"/>
      <c r="BQ105" s="769"/>
      <c r="BR105" s="769"/>
      <c r="BS105" s="769"/>
      <c r="BT105" s="769"/>
      <c r="BU105" s="769"/>
      <c r="BV105" s="769"/>
      <c r="BW105" s="769"/>
      <c r="BX105" s="1415"/>
      <c r="BY105" s="1415"/>
      <c r="BZ105" s="1415"/>
      <c r="CA105" s="1415"/>
      <c r="CB105" s="1415"/>
      <c r="CC105" s="1415"/>
      <c r="CD105" s="1415"/>
      <c r="CE105" s="1415"/>
      <c r="CF105" s="1415"/>
      <c r="CG105" s="1415"/>
      <c r="CH105" s="1415"/>
      <c r="CI105" s="1415"/>
      <c r="CJ105" s="1415"/>
      <c r="CK105" s="1415"/>
      <c r="CL105" s="1415"/>
      <c r="CM105" s="1415"/>
      <c r="CN105" s="1415"/>
      <c r="CO105" s="1415"/>
      <c r="CP105" s="1415"/>
      <c r="CQ105" s="1406"/>
      <c r="CR105" s="81"/>
      <c r="CS105" s="81"/>
      <c r="CT105" s="81"/>
      <c r="CU105" s="81"/>
      <c r="CV105" s="81"/>
      <c r="CW105" s="81"/>
      <c r="CX105" s="81"/>
      <c r="CY105" s="81"/>
      <c r="CZ105" s="81"/>
      <c r="DA105" s="81"/>
      <c r="DB105" s="81"/>
      <c r="DC105" s="81"/>
      <c r="DD105" s="81"/>
      <c r="DE105" s="1403"/>
      <c r="DF105" s="1405"/>
      <c r="DG105" s="1403"/>
      <c r="DH105" s="1404"/>
      <c r="DI105" s="1403"/>
      <c r="DJ105" s="86"/>
      <c r="DK105" s="86"/>
      <c r="DL105" s="86"/>
      <c r="DM105"/>
      <c r="DN105" s="769"/>
      <c r="DQ105" s="1401"/>
      <c r="DR105" s="1400"/>
    </row>
    <row r="106" spans="1:122" s="554" customFormat="1" ht="15.75">
      <c r="A106" s="1416"/>
      <c r="B106" s="1412"/>
      <c r="C106" s="769"/>
      <c r="D106" s="769"/>
      <c r="E106" s="769"/>
      <c r="F106" s="769"/>
      <c r="G106" s="769"/>
      <c r="H106" s="769"/>
      <c r="I106" s="769"/>
      <c r="J106" s="769"/>
      <c r="K106" s="769"/>
      <c r="L106" s="769"/>
      <c r="M106" s="769"/>
      <c r="N106" s="769"/>
      <c r="O106" s="769"/>
      <c r="P106" s="769"/>
      <c r="Q106" s="769"/>
      <c r="R106" s="769"/>
      <c r="S106" s="769"/>
      <c r="T106" s="769"/>
      <c r="U106" s="769"/>
      <c r="V106" s="769"/>
      <c r="W106" s="769"/>
      <c r="X106" s="769"/>
      <c r="Y106" s="769"/>
      <c r="Z106" s="769"/>
      <c r="AA106" s="769"/>
      <c r="AB106" s="769"/>
      <c r="AC106" s="769"/>
      <c r="AD106" s="769"/>
      <c r="AE106" s="769"/>
      <c r="AF106" s="769"/>
      <c r="AG106" s="769"/>
      <c r="AH106" s="1413"/>
      <c r="AI106" s="769"/>
      <c r="AJ106" s="769"/>
      <c r="AK106" s="769"/>
      <c r="AL106" s="769"/>
      <c r="AM106" s="769"/>
      <c r="AN106" s="769"/>
      <c r="AO106" s="769"/>
      <c r="AP106" s="769"/>
      <c r="AQ106" s="769"/>
      <c r="AR106" s="769"/>
      <c r="AS106" s="769"/>
      <c r="AT106" s="769"/>
      <c r="AU106" s="769"/>
      <c r="AV106" s="769"/>
      <c r="AW106" s="769"/>
      <c r="AX106" s="769"/>
      <c r="AY106" s="1582"/>
      <c r="AZ106" s="1583"/>
      <c r="BA106" s="769"/>
      <c r="BB106" s="769"/>
      <c r="BC106" s="769"/>
      <c r="BD106" s="769"/>
      <c r="BE106" s="769"/>
      <c r="BF106" s="769"/>
      <c r="BG106" s="769"/>
      <c r="BH106" s="769"/>
      <c r="BI106" s="769"/>
      <c r="BJ106" s="769"/>
      <c r="BK106" s="769"/>
      <c r="BL106" s="769"/>
      <c r="BM106" s="769"/>
      <c r="BN106" s="769"/>
      <c r="BO106" s="769"/>
      <c r="BP106" s="769"/>
      <c r="BQ106" s="769"/>
      <c r="BR106" s="769"/>
      <c r="BS106" s="769"/>
      <c r="BT106" s="769"/>
      <c r="BU106" s="769"/>
      <c r="BV106" s="769"/>
      <c r="BW106" s="769"/>
      <c r="BX106" s="1415"/>
      <c r="BY106" s="1415"/>
      <c r="BZ106" s="1415"/>
      <c r="CA106" s="1415"/>
      <c r="CB106" s="1415"/>
      <c r="CC106" s="1415"/>
      <c r="CD106" s="1415"/>
      <c r="CE106" s="1415"/>
      <c r="CF106" s="1415"/>
      <c r="CG106" s="1415"/>
      <c r="CH106" s="1415"/>
      <c r="CI106" s="1415"/>
      <c r="CJ106" s="1415"/>
      <c r="CK106" s="1415"/>
      <c r="CL106" s="1415"/>
      <c r="CM106" s="1415"/>
      <c r="CN106" s="1415"/>
      <c r="CO106" s="1415"/>
      <c r="CP106" s="1415"/>
      <c r="CQ106" s="1406"/>
      <c r="CR106" s="81"/>
      <c r="CS106" s="81"/>
      <c r="CT106" s="81"/>
      <c r="CU106" s="81"/>
      <c r="CV106" s="81"/>
      <c r="CW106" s="81"/>
      <c r="CX106" s="81"/>
      <c r="CY106" s="81"/>
      <c r="CZ106" s="81"/>
      <c r="DA106" s="81"/>
      <c r="DB106" s="81"/>
      <c r="DC106" s="81"/>
      <c r="DD106" s="81"/>
      <c r="DE106" s="1403"/>
      <c r="DF106" s="1405"/>
      <c r="DG106" s="1403"/>
      <c r="DH106" s="1404"/>
      <c r="DI106" s="1403"/>
      <c r="DJ106" s="86"/>
      <c r="DK106" s="86"/>
      <c r="DL106" s="86"/>
      <c r="DM106"/>
      <c r="DN106" s="769"/>
      <c r="DQ106" s="1401"/>
      <c r="DR106" s="1400"/>
    </row>
    <row r="107" spans="1:122" s="554" customFormat="1" ht="15.75">
      <c r="A107" s="769"/>
      <c r="B107" s="1412"/>
      <c r="C107" s="769"/>
      <c r="D107" s="769"/>
      <c r="E107" s="769"/>
      <c r="F107" s="769"/>
      <c r="G107" s="769"/>
      <c r="H107" s="769"/>
      <c r="I107" s="769"/>
      <c r="J107" s="769"/>
      <c r="K107" s="769"/>
      <c r="L107" s="769"/>
      <c r="M107" s="769"/>
      <c r="N107" s="769"/>
      <c r="O107" s="769"/>
      <c r="P107" s="769"/>
      <c r="Q107" s="769"/>
      <c r="R107" s="769"/>
      <c r="S107" s="769"/>
      <c r="T107" s="769"/>
      <c r="U107" s="769"/>
      <c r="V107" s="769"/>
      <c r="W107" s="769"/>
      <c r="X107" s="769"/>
      <c r="Y107" s="769"/>
      <c r="Z107" s="769"/>
      <c r="AA107" s="769"/>
      <c r="AB107" s="769"/>
      <c r="AC107" s="769"/>
      <c r="AD107" s="769"/>
      <c r="AE107" s="769"/>
      <c r="AF107" s="769"/>
      <c r="AG107" s="769"/>
      <c r="AH107" s="1413"/>
      <c r="AI107" s="769"/>
      <c r="AJ107" s="769"/>
      <c r="AK107" s="769"/>
      <c r="AL107" s="769"/>
      <c r="AM107" s="769"/>
      <c r="AN107" s="769"/>
      <c r="AO107" s="769"/>
      <c r="AP107" s="769"/>
      <c r="AQ107" s="769"/>
      <c r="AR107" s="769"/>
      <c r="AS107" s="769"/>
      <c r="AT107" s="769"/>
      <c r="AU107" s="769"/>
      <c r="AV107" s="769"/>
      <c r="AW107" s="769"/>
      <c r="AX107" s="769"/>
      <c r="AY107" s="1582"/>
      <c r="AZ107" s="1583"/>
      <c r="BA107" s="769"/>
      <c r="BB107" s="769"/>
      <c r="BC107" s="769"/>
      <c r="BD107" s="769"/>
      <c r="BE107" s="769"/>
      <c r="BF107" s="769"/>
      <c r="BG107" s="769"/>
      <c r="BH107" s="769"/>
      <c r="BI107" s="769"/>
      <c r="BJ107" s="769"/>
      <c r="BK107" s="769"/>
      <c r="BL107" s="769"/>
      <c r="BM107" s="769"/>
      <c r="BN107" s="769"/>
      <c r="BO107" s="769"/>
      <c r="BP107" s="769"/>
      <c r="BQ107" s="769"/>
      <c r="BR107" s="769"/>
      <c r="BS107" s="769"/>
      <c r="BT107" s="769"/>
      <c r="BU107" s="769"/>
      <c r="BV107" s="769"/>
      <c r="BW107" s="769"/>
      <c r="BX107" s="1415"/>
      <c r="BY107" s="1415"/>
      <c r="BZ107" s="1415"/>
      <c r="CA107" s="1415"/>
      <c r="CB107" s="1415"/>
      <c r="CC107" s="1415"/>
      <c r="CD107" s="1415"/>
      <c r="CE107" s="1415"/>
      <c r="CF107" s="1415"/>
      <c r="CG107" s="1415"/>
      <c r="CH107" s="1415"/>
      <c r="CI107" s="1415"/>
      <c r="CJ107" s="1415"/>
      <c r="CK107" s="1415"/>
      <c r="CL107" s="1415"/>
      <c r="CM107" s="1415"/>
      <c r="CN107" s="1415"/>
      <c r="CO107" s="1415"/>
      <c r="CP107" s="1415"/>
      <c r="CQ107" s="1406"/>
      <c r="CR107" s="81"/>
      <c r="CS107" s="81"/>
      <c r="CT107" s="81"/>
      <c r="CU107" s="81"/>
      <c r="CV107" s="81"/>
      <c r="CW107" s="81"/>
      <c r="CX107" s="81"/>
      <c r="CY107" s="81"/>
      <c r="CZ107" s="81"/>
      <c r="DA107" s="81"/>
      <c r="DB107" s="81"/>
      <c r="DC107" s="81"/>
      <c r="DD107" s="81"/>
      <c r="DE107" s="1403"/>
      <c r="DF107" s="1405"/>
      <c r="DG107" s="1403"/>
      <c r="DH107" s="1404"/>
      <c r="DI107" s="1403"/>
      <c r="DJ107" s="86"/>
      <c r="DK107" s="86"/>
      <c r="DL107" s="86"/>
      <c r="DM107"/>
      <c r="DN107" s="769"/>
      <c r="DQ107" s="1401"/>
      <c r="DR107" s="1400"/>
    </row>
    <row r="108" spans="1:122" s="554" customFormat="1">
      <c r="A108" s="769"/>
      <c r="B108" s="1412"/>
      <c r="C108" s="769"/>
      <c r="D108" s="769"/>
      <c r="E108" s="769"/>
      <c r="F108" s="769"/>
      <c r="G108" s="769"/>
      <c r="H108" s="769"/>
      <c r="I108" s="769"/>
      <c r="J108" s="769"/>
      <c r="K108" s="769"/>
      <c r="L108" s="769"/>
      <c r="M108" s="769"/>
      <c r="N108" s="769"/>
      <c r="O108" s="769"/>
      <c r="P108" s="769"/>
      <c r="Q108" s="769"/>
      <c r="R108" s="769"/>
      <c r="S108" s="769"/>
      <c r="T108" s="769"/>
      <c r="U108" s="769"/>
      <c r="V108" s="769"/>
      <c r="W108" s="769"/>
      <c r="X108" s="769"/>
      <c r="Y108" s="769"/>
      <c r="Z108" s="769"/>
      <c r="AA108" s="769"/>
      <c r="AB108" s="769"/>
      <c r="AC108" s="769"/>
      <c r="AD108" s="769"/>
      <c r="AE108" s="769"/>
      <c r="AF108" s="769"/>
      <c r="AG108" s="769"/>
      <c r="AH108" s="1413"/>
      <c r="AI108" s="769"/>
      <c r="AJ108" s="769"/>
      <c r="AK108" s="769"/>
      <c r="AL108" s="769"/>
      <c r="AM108" s="769"/>
      <c r="AN108" s="769"/>
      <c r="AO108" s="769"/>
      <c r="AP108" s="769"/>
      <c r="AQ108" s="769"/>
      <c r="AR108" s="769"/>
      <c r="AS108" s="769"/>
      <c r="AT108" s="769"/>
      <c r="AU108" s="769"/>
      <c r="AV108" s="769"/>
      <c r="AW108" s="769"/>
      <c r="AX108" s="769"/>
      <c r="AY108" s="1582"/>
      <c r="AZ108" s="1583"/>
      <c r="BA108" s="769"/>
      <c r="BB108" s="769"/>
      <c r="BC108" s="769"/>
      <c r="BD108" s="769"/>
      <c r="BE108" s="769"/>
      <c r="BF108" s="769"/>
      <c r="BG108" s="769"/>
      <c r="BH108" s="769"/>
      <c r="BI108" s="769"/>
      <c r="BJ108" s="769"/>
      <c r="BK108" s="769"/>
      <c r="BL108" s="769"/>
      <c r="BM108" s="769"/>
      <c r="BN108" s="769"/>
      <c r="BO108" s="769"/>
      <c r="BP108" s="769"/>
      <c r="BQ108" s="769"/>
      <c r="BR108" s="769"/>
      <c r="BS108" s="769"/>
      <c r="BT108" s="769"/>
      <c r="BU108" s="769"/>
      <c r="BV108" s="769"/>
      <c r="BW108" s="769"/>
      <c r="BX108"/>
      <c r="BY108"/>
      <c r="BZ108"/>
      <c r="CA108"/>
      <c r="CB108"/>
      <c r="CC108"/>
      <c r="CD108"/>
      <c r="CE108"/>
      <c r="CF108"/>
      <c r="CG108"/>
      <c r="CH108"/>
      <c r="CI108"/>
      <c r="CJ108"/>
      <c r="CK108"/>
      <c r="CL108"/>
      <c r="CM108"/>
      <c r="CN108"/>
      <c r="CO108"/>
      <c r="CP108"/>
      <c r="CQ108" s="1406"/>
      <c r="CR108" s="81"/>
      <c r="CS108" s="81"/>
      <c r="CT108" s="81"/>
      <c r="CU108" s="81"/>
      <c r="CV108" s="81"/>
      <c r="CW108" s="81"/>
      <c r="CX108" s="81"/>
      <c r="CY108" s="81"/>
      <c r="CZ108" s="81"/>
      <c r="DA108" s="81"/>
      <c r="DB108" s="81"/>
      <c r="DC108" s="81"/>
      <c r="DD108" s="81"/>
      <c r="DE108" s="1403"/>
      <c r="DF108" s="1405"/>
      <c r="DG108" s="1403"/>
      <c r="DH108" s="1404"/>
      <c r="DI108" s="1403"/>
      <c r="DJ108" s="86"/>
      <c r="DK108" s="86"/>
      <c r="DL108" s="86"/>
      <c r="DM108"/>
      <c r="DN108" s="769"/>
      <c r="DQ108" s="1401"/>
      <c r="DR108" s="1400"/>
    </row>
    <row r="109" spans="1:122" s="554" customFormat="1">
      <c r="A109" s="769"/>
      <c r="B109" s="1412"/>
      <c r="C109" s="769"/>
      <c r="D109" s="769"/>
      <c r="E109" s="769"/>
      <c r="F109" s="769"/>
      <c r="G109" s="769"/>
      <c r="H109" s="769"/>
      <c r="I109" s="769"/>
      <c r="J109" s="769"/>
      <c r="K109" s="769"/>
      <c r="L109" s="769"/>
      <c r="M109" s="769"/>
      <c r="N109" s="769"/>
      <c r="O109" s="769"/>
      <c r="P109" s="769"/>
      <c r="Q109" s="769"/>
      <c r="R109" s="769"/>
      <c r="S109" s="769"/>
      <c r="T109" s="769"/>
      <c r="U109" s="769"/>
      <c r="V109" s="769"/>
      <c r="W109" s="769"/>
      <c r="X109" s="769"/>
      <c r="Y109" s="769"/>
      <c r="Z109" s="769"/>
      <c r="AA109" s="769"/>
      <c r="AB109" s="769"/>
      <c r="AC109" s="769"/>
      <c r="AD109" s="769"/>
      <c r="AE109" s="769"/>
      <c r="AF109" s="769"/>
      <c r="AG109" s="769"/>
      <c r="AH109" s="1413"/>
      <c r="AI109" s="769"/>
      <c r="AJ109" s="769"/>
      <c r="AK109" s="769"/>
      <c r="AL109" s="769"/>
      <c r="AM109" s="769"/>
      <c r="AN109" s="769"/>
      <c r="AO109" s="769"/>
      <c r="AP109" s="769"/>
      <c r="AQ109" s="769"/>
      <c r="AR109" s="769"/>
      <c r="AS109" s="769"/>
      <c r="AT109" s="769"/>
      <c r="AU109" s="769"/>
      <c r="AV109" s="769"/>
      <c r="AW109" s="769"/>
      <c r="AX109" s="769"/>
      <c r="AY109" s="1582"/>
      <c r="AZ109" s="1583"/>
      <c r="BA109" s="769"/>
      <c r="BB109" s="769"/>
      <c r="BC109" s="769"/>
      <c r="BD109" s="769"/>
      <c r="BE109" s="769"/>
      <c r="BF109" s="769"/>
      <c r="BG109" s="769"/>
      <c r="BH109" s="769"/>
      <c r="BI109" s="769"/>
      <c r="BJ109" s="769"/>
      <c r="BK109" s="769"/>
      <c r="BL109" s="769"/>
      <c r="BM109" s="769"/>
      <c r="BN109" s="769"/>
      <c r="BO109" s="769"/>
      <c r="BP109" s="769"/>
      <c r="BQ109" s="769"/>
      <c r="BR109" s="769"/>
      <c r="BS109" s="769"/>
      <c r="BT109" s="769"/>
      <c r="BU109" s="769"/>
      <c r="BV109" s="769"/>
      <c r="BW109" s="769"/>
      <c r="BX109"/>
      <c r="BY109"/>
      <c r="BZ109"/>
      <c r="CA109"/>
      <c r="CB109"/>
      <c r="CC109"/>
      <c r="CD109"/>
      <c r="CE109"/>
      <c r="CF109"/>
      <c r="CG109"/>
      <c r="CH109"/>
      <c r="CI109"/>
      <c r="CJ109"/>
      <c r="CK109"/>
      <c r="CL109"/>
      <c r="CM109"/>
      <c r="CN109"/>
      <c r="CO109"/>
      <c r="CP109"/>
      <c r="CQ109" s="1406"/>
      <c r="CR109" s="81"/>
      <c r="CS109" s="81"/>
      <c r="CT109" s="81"/>
      <c r="CU109" s="81"/>
      <c r="CV109" s="81"/>
      <c r="CW109" s="81"/>
      <c r="CX109" s="81"/>
      <c r="CY109" s="81"/>
      <c r="CZ109" s="81"/>
      <c r="DA109" s="81"/>
      <c r="DB109" s="81"/>
      <c r="DC109" s="81"/>
      <c r="DD109" s="81"/>
      <c r="DE109" s="1403"/>
      <c r="DF109" s="1405"/>
      <c r="DG109" s="1403"/>
      <c r="DH109" s="1404"/>
      <c r="DI109" s="1403"/>
      <c r="DJ109" s="86"/>
      <c r="DK109" s="86"/>
      <c r="DL109" s="86"/>
      <c r="DM109"/>
      <c r="DN109" s="769"/>
      <c r="DQ109" s="1401"/>
      <c r="DR109" s="1400"/>
    </row>
    <row r="110" spans="1:122" s="554" customFormat="1">
      <c r="A110" s="769"/>
      <c r="B110" s="1412"/>
      <c r="C110" s="769"/>
      <c r="D110" s="769"/>
      <c r="E110" s="769"/>
      <c r="F110" s="769"/>
      <c r="G110" s="769"/>
      <c r="H110" s="769"/>
      <c r="I110" s="769"/>
      <c r="J110" s="769"/>
      <c r="K110" s="769"/>
      <c r="L110" s="769"/>
      <c r="M110" s="769"/>
      <c r="N110" s="769"/>
      <c r="O110" s="769"/>
      <c r="P110" s="769"/>
      <c r="Q110" s="769"/>
      <c r="R110" s="769"/>
      <c r="S110" s="769"/>
      <c r="T110" s="769"/>
      <c r="U110" s="769"/>
      <c r="V110" s="769"/>
      <c r="W110" s="769"/>
      <c r="X110" s="769"/>
      <c r="Y110" s="769"/>
      <c r="Z110" s="769"/>
      <c r="AA110" s="769"/>
      <c r="AB110" s="769"/>
      <c r="AC110" s="769"/>
      <c r="AD110" s="769"/>
      <c r="AE110" s="769"/>
      <c r="AF110" s="769"/>
      <c r="AG110" s="769"/>
      <c r="AH110" s="1413"/>
      <c r="AI110" s="769"/>
      <c r="AJ110" s="769"/>
      <c r="AK110" s="769"/>
      <c r="AL110" s="769"/>
      <c r="AM110" s="769"/>
      <c r="AN110" s="769"/>
      <c r="AO110" s="769"/>
      <c r="AP110" s="769"/>
      <c r="AQ110" s="769"/>
      <c r="AR110" s="769"/>
      <c r="AS110" s="769"/>
      <c r="AT110" s="769"/>
      <c r="AU110" s="769"/>
      <c r="AV110" s="769"/>
      <c r="AW110" s="769"/>
      <c r="AX110" s="769"/>
      <c r="AY110" s="1582"/>
      <c r="AZ110" s="1583"/>
      <c r="BA110" s="769"/>
      <c r="BB110" s="769"/>
      <c r="BC110" s="769"/>
      <c r="BD110" s="769"/>
      <c r="BE110" s="769"/>
      <c r="BF110" s="769"/>
      <c r="BG110" s="769"/>
      <c r="BH110" s="769"/>
      <c r="BI110" s="769"/>
      <c r="BJ110" s="769"/>
      <c r="BK110" s="769"/>
      <c r="BL110" s="769"/>
      <c r="BM110" s="769"/>
      <c r="BN110" s="769"/>
      <c r="BO110" s="769"/>
      <c r="BP110" s="769"/>
      <c r="BQ110" s="769"/>
      <c r="BR110" s="769"/>
      <c r="BS110" s="769"/>
      <c r="BT110" s="769"/>
      <c r="BU110" s="769"/>
      <c r="BV110" s="769"/>
      <c r="BW110" s="769"/>
      <c r="BX110"/>
      <c r="BY110"/>
      <c r="BZ110"/>
      <c r="CA110"/>
      <c r="CB110"/>
      <c r="CC110"/>
      <c r="CD110"/>
      <c r="CE110"/>
      <c r="CF110"/>
      <c r="CG110"/>
      <c r="CH110"/>
      <c r="CI110"/>
      <c r="CJ110"/>
      <c r="CK110"/>
      <c r="CL110"/>
      <c r="CM110"/>
      <c r="CN110"/>
      <c r="CO110"/>
      <c r="CP110"/>
      <c r="CQ110" s="1406"/>
      <c r="CR110" s="81"/>
      <c r="CS110" s="81"/>
      <c r="CT110" s="81"/>
      <c r="CU110" s="81"/>
      <c r="CV110" s="81"/>
      <c r="CW110" s="81"/>
      <c r="CX110" s="81"/>
      <c r="CY110" s="81"/>
      <c r="CZ110" s="81"/>
      <c r="DA110" s="81"/>
      <c r="DB110" s="81"/>
      <c r="DC110" s="81"/>
      <c r="DD110" s="81"/>
      <c r="DE110" s="1403"/>
      <c r="DF110" s="1405"/>
      <c r="DG110" s="1403"/>
      <c r="DH110" s="1404"/>
      <c r="DI110" s="1403"/>
      <c r="DJ110" s="86"/>
      <c r="DK110" s="86"/>
      <c r="DL110" s="86"/>
      <c r="DM110"/>
      <c r="DN110" s="769"/>
      <c r="DQ110" s="1401"/>
      <c r="DR110" s="1400"/>
    </row>
    <row r="111" spans="1:122" s="554" customFormat="1">
      <c r="A111" s="769"/>
      <c r="B111" s="1412"/>
      <c r="C111" s="769"/>
      <c r="D111" s="769"/>
      <c r="E111" s="769"/>
      <c r="F111" s="769"/>
      <c r="G111" s="769"/>
      <c r="H111" s="769"/>
      <c r="I111" s="769"/>
      <c r="J111" s="769"/>
      <c r="K111" s="769"/>
      <c r="L111" s="769"/>
      <c r="M111" s="769"/>
      <c r="N111" s="769"/>
      <c r="O111" s="769"/>
      <c r="P111" s="769"/>
      <c r="Q111" s="769"/>
      <c r="R111" s="769"/>
      <c r="S111" s="769"/>
      <c r="T111" s="769"/>
      <c r="U111" s="769"/>
      <c r="V111" s="769"/>
      <c r="W111" s="769"/>
      <c r="X111" s="769"/>
      <c r="Y111" s="769"/>
      <c r="Z111" s="769"/>
      <c r="AA111" s="769"/>
      <c r="AB111" s="769"/>
      <c r="AC111" s="769"/>
      <c r="AD111" s="769"/>
      <c r="AE111" s="769"/>
      <c r="AF111" s="769"/>
      <c r="AG111" s="769"/>
      <c r="AH111" s="1413"/>
      <c r="AI111" s="769"/>
      <c r="AJ111" s="769"/>
      <c r="AK111" s="769"/>
      <c r="AL111" s="769"/>
      <c r="AM111" s="769"/>
      <c r="AN111" s="769"/>
      <c r="AO111" s="769"/>
      <c r="AP111" s="769"/>
      <c r="AQ111" s="769"/>
      <c r="AR111" s="769"/>
      <c r="AS111" s="769"/>
      <c r="AT111" s="769"/>
      <c r="AU111" s="769"/>
      <c r="AV111" s="769"/>
      <c r="AW111" s="769"/>
      <c r="AX111" s="769"/>
      <c r="AY111" s="1582"/>
      <c r="AZ111" s="1583"/>
      <c r="BA111" s="769"/>
      <c r="BB111" s="769"/>
      <c r="BC111" s="769"/>
      <c r="BD111" s="769"/>
      <c r="BE111" s="769"/>
      <c r="BF111" s="769"/>
      <c r="BG111" s="769"/>
      <c r="BH111" s="769"/>
      <c r="BI111" s="769"/>
      <c r="BJ111" s="769"/>
      <c r="BK111" s="769"/>
      <c r="BL111" s="769"/>
      <c r="BM111" s="769"/>
      <c r="BN111" s="769"/>
      <c r="BO111" s="769"/>
      <c r="BP111" s="769"/>
      <c r="BQ111" s="769"/>
      <c r="BR111" s="769"/>
      <c r="BS111" s="769"/>
      <c r="BT111" s="769"/>
      <c r="BU111" s="769"/>
      <c r="BV111" s="769"/>
      <c r="BW111" s="769"/>
      <c r="BX111"/>
      <c r="BY111"/>
      <c r="BZ111"/>
      <c r="CA111"/>
      <c r="CB111"/>
      <c r="CC111"/>
      <c r="CD111"/>
      <c r="CE111"/>
      <c r="CF111"/>
      <c r="CG111"/>
      <c r="CH111"/>
      <c r="CI111"/>
      <c r="CJ111"/>
      <c r="CK111"/>
      <c r="CL111"/>
      <c r="CM111"/>
      <c r="CN111"/>
      <c r="CO111"/>
      <c r="CP111"/>
      <c r="CQ111" s="1406"/>
      <c r="CR111" s="81"/>
      <c r="CS111" s="81"/>
      <c r="CT111" s="81"/>
      <c r="CU111" s="81"/>
      <c r="CV111" s="81"/>
      <c r="CW111" s="81"/>
      <c r="CX111" s="81"/>
      <c r="CY111" s="81"/>
      <c r="CZ111" s="81"/>
      <c r="DA111" s="81"/>
      <c r="DB111" s="81"/>
      <c r="DC111" s="81"/>
      <c r="DD111" s="81"/>
      <c r="DE111" s="1403"/>
      <c r="DF111" s="1405"/>
      <c r="DG111" s="1403"/>
      <c r="DH111" s="1404"/>
      <c r="DI111" s="1403"/>
      <c r="DJ111" s="86"/>
      <c r="DK111" s="86"/>
      <c r="DL111" s="86"/>
      <c r="DM111"/>
      <c r="DN111" s="769"/>
      <c r="DQ111" s="1401"/>
      <c r="DR111" s="1400"/>
    </row>
    <row r="112" spans="1:122" s="554" customFormat="1">
      <c r="A112" s="769"/>
      <c r="B112" s="1412"/>
      <c r="C112" s="769"/>
      <c r="D112" s="769"/>
      <c r="E112" s="769"/>
      <c r="F112" s="769"/>
      <c r="G112" s="769"/>
      <c r="H112" s="769"/>
      <c r="I112" s="769"/>
      <c r="J112" s="769"/>
      <c r="K112" s="769"/>
      <c r="L112" s="769"/>
      <c r="M112" s="769"/>
      <c r="N112" s="769"/>
      <c r="O112" s="769"/>
      <c r="P112" s="769"/>
      <c r="Q112" s="769"/>
      <c r="R112" s="769"/>
      <c r="S112" s="769"/>
      <c r="T112" s="769"/>
      <c r="U112" s="769"/>
      <c r="V112" s="769"/>
      <c r="W112" s="769"/>
      <c r="X112" s="769"/>
      <c r="Y112" s="769"/>
      <c r="Z112" s="769"/>
      <c r="AA112" s="769"/>
      <c r="AB112" s="769"/>
      <c r="AC112" s="769"/>
      <c r="AD112" s="769"/>
      <c r="AE112" s="769"/>
      <c r="AF112" s="769"/>
      <c r="AG112" s="769"/>
      <c r="AH112" s="1413"/>
      <c r="AI112" s="769"/>
      <c r="AJ112" s="769"/>
      <c r="AK112" s="769"/>
      <c r="AL112" s="769"/>
      <c r="AM112" s="769"/>
      <c r="AN112" s="769"/>
      <c r="AO112" s="769"/>
      <c r="AP112" s="769"/>
      <c r="AQ112" s="769"/>
      <c r="AR112" s="769"/>
      <c r="AS112" s="769"/>
      <c r="AT112" s="769"/>
      <c r="AU112" s="769"/>
      <c r="AV112" s="769"/>
      <c r="AW112" s="769"/>
      <c r="AX112" s="769"/>
      <c r="AY112" s="1582"/>
      <c r="AZ112" s="1583"/>
      <c r="BA112" s="769"/>
      <c r="BB112" s="769"/>
      <c r="BC112" s="769"/>
      <c r="BD112" s="769"/>
      <c r="BE112" s="769"/>
      <c r="BF112" s="769"/>
      <c r="BG112" s="769"/>
      <c r="BH112" s="769"/>
      <c r="BI112" s="769"/>
      <c r="BJ112" s="769"/>
      <c r="BK112" s="769"/>
      <c r="BL112" s="769"/>
      <c r="BM112" s="769"/>
      <c r="BN112" s="769"/>
      <c r="BO112" s="769"/>
      <c r="BP112" s="769"/>
      <c r="BQ112" s="769"/>
      <c r="BR112" s="769"/>
      <c r="BS112" s="769"/>
      <c r="BT112" s="769"/>
      <c r="BU112" s="769"/>
      <c r="BV112" s="769"/>
      <c r="BW112" s="769"/>
      <c r="BX112"/>
      <c r="BY112"/>
      <c r="BZ112"/>
      <c r="CA112"/>
      <c r="CB112"/>
      <c r="CC112"/>
      <c r="CD112"/>
      <c r="CE112"/>
      <c r="CF112"/>
      <c r="CG112"/>
      <c r="CH112"/>
      <c r="CI112"/>
      <c r="CJ112"/>
      <c r="CK112"/>
      <c r="CL112"/>
      <c r="CM112"/>
      <c r="CN112"/>
      <c r="CO112"/>
      <c r="CP112"/>
      <c r="CQ112" s="1406"/>
      <c r="CR112" s="81"/>
      <c r="CS112" s="81"/>
      <c r="CT112" s="81"/>
      <c r="CU112" s="81"/>
      <c r="CV112" s="81"/>
      <c r="CW112" s="81"/>
      <c r="CX112" s="81"/>
      <c r="CY112" s="81"/>
      <c r="CZ112" s="81"/>
      <c r="DA112" s="81"/>
      <c r="DB112" s="81"/>
      <c r="DC112" s="81"/>
      <c r="DD112" s="81"/>
      <c r="DE112" s="1403"/>
      <c r="DF112" s="1405"/>
      <c r="DG112" s="1403"/>
      <c r="DH112" s="1404"/>
      <c r="DI112" s="1403"/>
      <c r="DJ112" s="86"/>
      <c r="DK112" s="86"/>
      <c r="DL112" s="86"/>
      <c r="DM112"/>
      <c r="DN112" s="769"/>
      <c r="DQ112" s="1401"/>
      <c r="DR112" s="1400"/>
    </row>
    <row r="113" spans="1:122" s="554" customFormat="1">
      <c r="A113" s="769"/>
      <c r="B113" s="1412"/>
      <c r="C113" s="769"/>
      <c r="D113" s="769"/>
      <c r="E113" s="769"/>
      <c r="F113" s="769"/>
      <c r="G113" s="769"/>
      <c r="H113" s="769"/>
      <c r="I113" s="769"/>
      <c r="J113" s="769"/>
      <c r="K113" s="769"/>
      <c r="L113" s="769"/>
      <c r="M113" s="769"/>
      <c r="N113" s="769"/>
      <c r="O113" s="769"/>
      <c r="P113" s="769"/>
      <c r="Q113" s="769"/>
      <c r="R113" s="769"/>
      <c r="S113" s="769"/>
      <c r="T113" s="769"/>
      <c r="U113" s="769"/>
      <c r="V113" s="769"/>
      <c r="W113" s="769"/>
      <c r="X113" s="769"/>
      <c r="Y113" s="769"/>
      <c r="Z113" s="769"/>
      <c r="AA113" s="769"/>
      <c r="AB113" s="769"/>
      <c r="AC113" s="769"/>
      <c r="AD113" s="769"/>
      <c r="AE113" s="769"/>
      <c r="AF113" s="769"/>
      <c r="AG113" s="769"/>
      <c r="AH113" s="1413"/>
      <c r="AI113" s="769"/>
      <c r="AJ113" s="769"/>
      <c r="AK113" s="769"/>
      <c r="AL113" s="769"/>
      <c r="AM113" s="769"/>
      <c r="AN113" s="769"/>
      <c r="AO113" s="769"/>
      <c r="AP113" s="769"/>
      <c r="AQ113" s="769"/>
      <c r="AR113" s="769"/>
      <c r="AS113" s="769"/>
      <c r="AT113" s="769"/>
      <c r="AU113" s="769"/>
      <c r="AV113" s="769"/>
      <c r="AW113" s="769"/>
      <c r="AX113" s="769"/>
      <c r="AY113" s="1582"/>
      <c r="AZ113" s="1583"/>
      <c r="BA113" s="769"/>
      <c r="BB113" s="769"/>
      <c r="BC113" s="769"/>
      <c r="BD113" s="769"/>
      <c r="BE113" s="769"/>
      <c r="BF113" s="769"/>
      <c r="BG113" s="769"/>
      <c r="BH113" s="769"/>
      <c r="BI113" s="769"/>
      <c r="BJ113" s="769"/>
      <c r="BK113" s="769"/>
      <c r="BL113" s="769"/>
      <c r="BM113" s="769"/>
      <c r="BN113" s="769"/>
      <c r="BO113" s="769"/>
      <c r="BP113" s="769"/>
      <c r="BQ113" s="769"/>
      <c r="BR113" s="769"/>
      <c r="BS113" s="769"/>
      <c r="BT113" s="769"/>
      <c r="BU113" s="769"/>
      <c r="BV113" s="769"/>
      <c r="BW113" s="769"/>
      <c r="BX113"/>
      <c r="BY113"/>
      <c r="BZ113"/>
      <c r="CA113"/>
      <c r="CB113"/>
      <c r="CC113"/>
      <c r="CD113"/>
      <c r="CE113"/>
      <c r="CF113"/>
      <c r="CG113"/>
      <c r="CH113"/>
      <c r="CI113"/>
      <c r="CJ113"/>
      <c r="CK113"/>
      <c r="CL113"/>
      <c r="CM113"/>
      <c r="CN113"/>
      <c r="CO113"/>
      <c r="CP113"/>
      <c r="CQ113" s="1406"/>
      <c r="CR113" s="81"/>
      <c r="CS113" s="81"/>
      <c r="CT113" s="81"/>
      <c r="CU113" s="81"/>
      <c r="CV113" s="81"/>
      <c r="CW113" s="81"/>
      <c r="CX113" s="81"/>
      <c r="CY113" s="81"/>
      <c r="CZ113" s="81"/>
      <c r="DA113" s="81"/>
      <c r="DB113" s="81"/>
      <c r="DC113" s="81"/>
      <c r="DD113" s="81"/>
      <c r="DE113" s="1403"/>
      <c r="DF113" s="1405"/>
      <c r="DG113" s="1403"/>
      <c r="DH113" s="1404"/>
      <c r="DI113" s="1403"/>
      <c r="DJ113" s="86"/>
      <c r="DK113" s="86"/>
      <c r="DL113" s="86"/>
      <c r="DM113"/>
      <c r="DN113" s="769"/>
      <c r="DQ113" s="1401"/>
      <c r="DR113" s="1400"/>
    </row>
    <row r="114" spans="1:122" s="554" customFormat="1">
      <c r="A114" s="769"/>
      <c r="B114" s="1412"/>
      <c r="C114" s="769"/>
      <c r="D114" s="769"/>
      <c r="E114" s="769"/>
      <c r="F114" s="769"/>
      <c r="G114" s="769"/>
      <c r="H114" s="769"/>
      <c r="I114" s="769"/>
      <c r="J114" s="769"/>
      <c r="K114" s="769"/>
      <c r="L114" s="769"/>
      <c r="M114" s="769"/>
      <c r="N114" s="769"/>
      <c r="O114" s="769"/>
      <c r="P114" s="769"/>
      <c r="Q114" s="769"/>
      <c r="R114" s="769"/>
      <c r="S114" s="769"/>
      <c r="T114" s="769"/>
      <c r="U114" s="769"/>
      <c r="V114" s="769"/>
      <c r="W114" s="769"/>
      <c r="X114" s="769"/>
      <c r="Y114" s="769"/>
      <c r="Z114" s="769"/>
      <c r="AA114" s="769"/>
      <c r="AB114" s="769"/>
      <c r="AC114" s="769"/>
      <c r="AD114" s="769"/>
      <c r="AE114" s="769"/>
      <c r="AF114" s="769"/>
      <c r="AG114" s="769"/>
      <c r="AH114" s="1413"/>
      <c r="AI114" s="769"/>
      <c r="AJ114" s="769"/>
      <c r="AK114" s="769"/>
      <c r="AL114" s="769"/>
      <c r="AM114" s="769"/>
      <c r="AN114" s="769"/>
      <c r="AO114" s="769"/>
      <c r="AP114" s="769"/>
      <c r="AQ114" s="769"/>
      <c r="AR114" s="769"/>
      <c r="AS114" s="769"/>
      <c r="AT114" s="769"/>
      <c r="AU114" s="769"/>
      <c r="AV114" s="769"/>
      <c r="AW114" s="769"/>
      <c r="AX114" s="769"/>
      <c r="AY114" s="1582"/>
      <c r="AZ114" s="1583"/>
      <c r="BA114" s="769"/>
      <c r="BB114" s="769"/>
      <c r="BC114" s="769"/>
      <c r="BD114" s="769"/>
      <c r="BE114" s="769"/>
      <c r="BF114" s="769"/>
      <c r="BG114" s="769"/>
      <c r="BH114" s="769"/>
      <c r="BI114" s="769"/>
      <c r="BJ114" s="769"/>
      <c r="BK114" s="769"/>
      <c r="BL114" s="769"/>
      <c r="BM114" s="769"/>
      <c r="BN114" s="769"/>
      <c r="BO114" s="769"/>
      <c r="BP114" s="769"/>
      <c r="BQ114" s="769"/>
      <c r="BR114" s="769"/>
      <c r="BS114" s="769"/>
      <c r="BT114" s="769"/>
      <c r="BU114" s="769"/>
      <c r="BV114" s="769"/>
      <c r="BW114" s="769"/>
      <c r="BX114"/>
      <c r="BY114"/>
      <c r="BZ114"/>
      <c r="CA114"/>
      <c r="CB114"/>
      <c r="CC114"/>
      <c r="CD114"/>
      <c r="CE114"/>
      <c r="CF114"/>
      <c r="CG114"/>
      <c r="CH114"/>
      <c r="CI114"/>
      <c r="CJ114"/>
      <c r="CK114"/>
      <c r="CL114"/>
      <c r="CM114"/>
      <c r="CN114"/>
      <c r="CO114"/>
      <c r="CP114"/>
      <c r="CQ114" s="1406"/>
      <c r="CR114" s="81"/>
      <c r="CS114" s="81"/>
      <c r="CT114" s="81"/>
      <c r="CU114" s="81"/>
      <c r="CV114" s="81"/>
      <c r="CW114" s="81"/>
      <c r="CX114" s="81"/>
      <c r="CY114" s="81"/>
      <c r="CZ114" s="81"/>
      <c r="DA114" s="81"/>
      <c r="DB114" s="81"/>
      <c r="DC114" s="81"/>
      <c r="DD114" s="81"/>
      <c r="DE114" s="1403"/>
      <c r="DF114" s="1405"/>
      <c r="DG114" s="1403"/>
      <c r="DH114" s="1404"/>
      <c r="DI114" s="1403"/>
      <c r="DJ114" s="86"/>
      <c r="DK114" s="86"/>
      <c r="DL114" s="86"/>
      <c r="DM114"/>
      <c r="DN114" s="769"/>
      <c r="DQ114" s="1401"/>
      <c r="DR114" s="1400"/>
    </row>
    <row r="115" spans="1:122" s="554" customFormat="1">
      <c r="A115" s="769"/>
      <c r="B115" s="1412"/>
      <c r="C115" s="769"/>
      <c r="D115" s="769"/>
      <c r="E115" s="769"/>
      <c r="F115" s="769"/>
      <c r="G115" s="769"/>
      <c r="H115" s="769"/>
      <c r="I115" s="769"/>
      <c r="J115" s="769"/>
      <c r="K115" s="769"/>
      <c r="L115" s="769"/>
      <c r="M115" s="769"/>
      <c r="N115" s="769"/>
      <c r="O115" s="769"/>
      <c r="P115" s="769"/>
      <c r="Q115" s="769"/>
      <c r="R115" s="769"/>
      <c r="S115" s="769"/>
      <c r="T115" s="769"/>
      <c r="U115" s="769"/>
      <c r="V115" s="769"/>
      <c r="W115" s="769"/>
      <c r="X115" s="769"/>
      <c r="Y115" s="769"/>
      <c r="Z115" s="769"/>
      <c r="AA115" s="769"/>
      <c r="AB115" s="769"/>
      <c r="AC115" s="769"/>
      <c r="AD115" s="769"/>
      <c r="AE115" s="769"/>
      <c r="AF115" s="769"/>
      <c r="AG115" s="769"/>
      <c r="AH115" s="1413"/>
      <c r="AI115" s="769"/>
      <c r="AJ115" s="769"/>
      <c r="AK115" s="769"/>
      <c r="AL115" s="769"/>
      <c r="AM115" s="769"/>
      <c r="AN115" s="769"/>
      <c r="AO115" s="769"/>
      <c r="AP115" s="769"/>
      <c r="AQ115" s="769"/>
      <c r="AR115" s="769"/>
      <c r="AS115" s="769"/>
      <c r="AT115" s="769"/>
      <c r="AU115" s="769"/>
      <c r="AV115" s="769"/>
      <c r="AW115" s="769"/>
      <c r="AX115" s="769"/>
      <c r="AY115" s="1582"/>
      <c r="AZ115" s="1583"/>
      <c r="BA115" s="769"/>
      <c r="BB115" s="769"/>
      <c r="BC115" s="769"/>
      <c r="BD115" s="769"/>
      <c r="BE115" s="769"/>
      <c r="BF115" s="769"/>
      <c r="BG115" s="769"/>
      <c r="BH115" s="769"/>
      <c r="BI115" s="769"/>
      <c r="BJ115" s="769"/>
      <c r="BK115" s="769"/>
      <c r="BL115" s="769"/>
      <c r="BM115" s="769"/>
      <c r="BN115" s="769"/>
      <c r="BO115" s="769"/>
      <c r="BP115" s="769"/>
      <c r="BQ115" s="769"/>
      <c r="BR115" s="769"/>
      <c r="BS115" s="769"/>
      <c r="BT115" s="769"/>
      <c r="BU115" s="769"/>
      <c r="BV115" s="769"/>
      <c r="BW115" s="769"/>
      <c r="BX115"/>
      <c r="BY115"/>
      <c r="BZ115"/>
      <c r="CA115"/>
      <c r="CB115"/>
      <c r="CC115"/>
      <c r="CD115"/>
      <c r="CE115"/>
      <c r="CF115"/>
      <c r="CG115"/>
      <c r="CH115"/>
      <c r="CI115"/>
      <c r="CJ115"/>
      <c r="CK115"/>
      <c r="CL115"/>
      <c r="CM115"/>
      <c r="CN115"/>
      <c r="CO115"/>
      <c r="CP115"/>
      <c r="CQ115" s="1406"/>
      <c r="CR115" s="81"/>
      <c r="CS115" s="81"/>
      <c r="CT115" s="81"/>
      <c r="CU115" s="81"/>
      <c r="CV115" s="81"/>
      <c r="CW115" s="81"/>
      <c r="CX115" s="81"/>
      <c r="CY115" s="81"/>
      <c r="CZ115" s="81"/>
      <c r="DA115" s="81"/>
      <c r="DB115" s="81"/>
      <c r="DC115" s="81"/>
      <c r="DD115" s="81"/>
      <c r="DE115" s="1403"/>
      <c r="DF115" s="1405"/>
      <c r="DG115" s="1403"/>
      <c r="DH115" s="1404"/>
      <c r="DI115" s="1403"/>
      <c r="DJ115" s="86"/>
      <c r="DK115" s="86"/>
      <c r="DL115" s="86"/>
      <c r="DM115"/>
      <c r="DN115" s="769"/>
      <c r="DQ115" s="1401"/>
      <c r="DR115" s="1400"/>
    </row>
    <row r="116" spans="1:122" s="554" customFormat="1">
      <c r="A116" s="769"/>
      <c r="B116" s="1412"/>
      <c r="C116" s="769"/>
      <c r="D116" s="769"/>
      <c r="E116" s="769"/>
      <c r="F116" s="769"/>
      <c r="G116" s="769"/>
      <c r="H116" s="769"/>
      <c r="I116" s="769"/>
      <c r="J116" s="769"/>
      <c r="K116" s="769"/>
      <c r="L116" s="769"/>
      <c r="M116" s="769"/>
      <c r="N116" s="769"/>
      <c r="O116" s="769"/>
      <c r="P116" s="769"/>
      <c r="Q116" s="769"/>
      <c r="R116" s="769"/>
      <c r="S116" s="769"/>
      <c r="T116" s="769"/>
      <c r="U116" s="769"/>
      <c r="V116" s="769"/>
      <c r="W116" s="769"/>
      <c r="X116" s="769"/>
      <c r="Y116" s="769"/>
      <c r="Z116" s="769"/>
      <c r="AA116" s="769"/>
      <c r="AB116" s="769"/>
      <c r="AC116" s="769"/>
      <c r="AD116" s="769"/>
      <c r="AE116" s="769"/>
      <c r="AF116" s="769"/>
      <c r="AG116" s="769"/>
      <c r="AH116" s="1413"/>
      <c r="AI116" s="769"/>
      <c r="AJ116" s="769"/>
      <c r="AK116" s="769"/>
      <c r="AL116" s="769"/>
      <c r="AM116" s="769"/>
      <c r="AN116" s="769"/>
      <c r="AO116" s="769"/>
      <c r="AP116" s="769"/>
      <c r="AQ116" s="769"/>
      <c r="AR116" s="769"/>
      <c r="AS116" s="769"/>
      <c r="AT116" s="769"/>
      <c r="AU116" s="769"/>
      <c r="AV116" s="769"/>
      <c r="AW116" s="769"/>
      <c r="AX116" s="769"/>
      <c r="AY116" s="1582"/>
      <c r="AZ116" s="1583"/>
      <c r="BA116" s="769"/>
      <c r="BB116" s="769"/>
      <c r="BC116" s="769"/>
      <c r="BD116" s="769"/>
      <c r="BE116" s="769"/>
      <c r="BF116" s="769"/>
      <c r="BG116" s="769"/>
      <c r="BH116" s="769"/>
      <c r="BI116" s="769"/>
      <c r="BJ116" s="769"/>
      <c r="BK116" s="769"/>
      <c r="BL116" s="769"/>
      <c r="BM116" s="769"/>
      <c r="BN116" s="769"/>
      <c r="BO116" s="769"/>
      <c r="BP116" s="769"/>
      <c r="BQ116" s="769"/>
      <c r="BR116" s="769"/>
      <c r="BS116" s="769"/>
      <c r="BT116" s="769"/>
      <c r="BU116" s="769"/>
      <c r="BV116" s="769"/>
      <c r="BW116" s="769"/>
      <c r="BX116"/>
      <c r="BY116"/>
      <c r="BZ116"/>
      <c r="CA116"/>
      <c r="CB116"/>
      <c r="CC116"/>
      <c r="CD116"/>
      <c r="CE116"/>
      <c r="CF116"/>
      <c r="CG116"/>
      <c r="CH116"/>
      <c r="CI116"/>
      <c r="CJ116"/>
      <c r="CK116"/>
      <c r="CL116"/>
      <c r="CM116"/>
      <c r="CN116"/>
      <c r="CO116"/>
      <c r="CP116"/>
      <c r="CQ116" s="1406"/>
      <c r="CR116" s="81"/>
      <c r="CS116" s="81"/>
      <c r="CT116" s="81"/>
      <c r="CU116" s="81"/>
      <c r="CV116" s="81"/>
      <c r="CW116" s="81"/>
      <c r="CX116" s="81"/>
      <c r="CY116" s="81"/>
      <c r="CZ116" s="81"/>
      <c r="DA116" s="81"/>
      <c r="DB116" s="81"/>
      <c r="DC116" s="81"/>
      <c r="DD116" s="81"/>
      <c r="DE116" s="1403"/>
      <c r="DF116" s="1405"/>
      <c r="DG116" s="1403"/>
      <c r="DH116" s="1404"/>
      <c r="DI116" s="1403"/>
      <c r="DJ116" s="86"/>
      <c r="DK116" s="86"/>
      <c r="DL116" s="86"/>
      <c r="DM116"/>
      <c r="DN116" s="769"/>
      <c r="DQ116" s="1401"/>
      <c r="DR116" s="1400"/>
    </row>
    <row r="117" spans="1:122" s="554" customFormat="1">
      <c r="A117" s="769"/>
      <c r="B117" s="1412"/>
      <c r="C117" s="769"/>
      <c r="D117" s="769"/>
      <c r="E117" s="769"/>
      <c r="F117" s="769"/>
      <c r="G117" s="769"/>
      <c r="H117" s="769"/>
      <c r="I117" s="769"/>
      <c r="J117" s="769"/>
      <c r="K117" s="769"/>
      <c r="L117" s="769"/>
      <c r="M117" s="769"/>
      <c r="N117" s="769"/>
      <c r="O117" s="769"/>
      <c r="P117" s="769"/>
      <c r="Q117" s="769"/>
      <c r="R117" s="769"/>
      <c r="S117" s="769"/>
      <c r="T117" s="769"/>
      <c r="U117" s="769"/>
      <c r="V117" s="769"/>
      <c r="W117" s="769"/>
      <c r="X117" s="769"/>
      <c r="Y117" s="769"/>
      <c r="Z117" s="769"/>
      <c r="AA117" s="769"/>
      <c r="AB117" s="769"/>
      <c r="AC117" s="769"/>
      <c r="AD117" s="769"/>
      <c r="AE117" s="769"/>
      <c r="AF117" s="769"/>
      <c r="AG117" s="769"/>
      <c r="AH117" s="1413"/>
      <c r="AI117" s="769"/>
      <c r="AJ117" s="769"/>
      <c r="AK117" s="769"/>
      <c r="AL117" s="769"/>
      <c r="AM117" s="769"/>
      <c r="AN117" s="769"/>
      <c r="AO117" s="769"/>
      <c r="AP117" s="769"/>
      <c r="AQ117" s="769"/>
      <c r="AR117" s="769"/>
      <c r="AS117" s="769"/>
      <c r="AT117" s="769"/>
      <c r="AU117" s="769"/>
      <c r="AV117" s="769"/>
      <c r="AW117" s="769"/>
      <c r="AX117" s="769"/>
      <c r="AY117" s="1582"/>
      <c r="AZ117" s="1583"/>
      <c r="BA117" s="769"/>
      <c r="BB117" s="769"/>
      <c r="BC117" s="769"/>
      <c r="BD117" s="769"/>
      <c r="BE117" s="769"/>
      <c r="BF117" s="769"/>
      <c r="BG117" s="769"/>
      <c r="BH117" s="769"/>
      <c r="BI117" s="769"/>
      <c r="BJ117" s="769"/>
      <c r="BK117" s="769"/>
      <c r="BL117" s="769"/>
      <c r="BM117" s="769"/>
      <c r="BN117" s="769"/>
      <c r="BO117" s="769"/>
      <c r="BP117" s="769"/>
      <c r="BQ117" s="769"/>
      <c r="BR117" s="769"/>
      <c r="BS117" s="769"/>
      <c r="BT117" s="769"/>
      <c r="BU117" s="769"/>
      <c r="BV117" s="769"/>
      <c r="BW117" s="769"/>
      <c r="BX117"/>
      <c r="BY117"/>
      <c r="BZ117"/>
      <c r="CA117"/>
      <c r="CB117"/>
      <c r="CC117"/>
      <c r="CD117"/>
      <c r="CE117"/>
      <c r="CF117"/>
      <c r="CG117"/>
      <c r="CH117"/>
      <c r="CI117"/>
      <c r="CJ117"/>
      <c r="CK117"/>
      <c r="CL117"/>
      <c r="CM117"/>
      <c r="CN117"/>
      <c r="CO117"/>
      <c r="CP117"/>
      <c r="CQ117" s="1406"/>
      <c r="CR117" s="81"/>
      <c r="CS117" s="81"/>
      <c r="CT117" s="81"/>
      <c r="CU117" s="81"/>
      <c r="CV117" s="81"/>
      <c r="CW117" s="81"/>
      <c r="CX117" s="81"/>
      <c r="CY117" s="81"/>
      <c r="CZ117" s="81"/>
      <c r="DA117" s="81"/>
      <c r="DB117" s="81"/>
      <c r="DC117" s="81"/>
      <c r="DD117" s="81"/>
      <c r="DE117" s="1403"/>
      <c r="DF117" s="1405"/>
      <c r="DG117" s="1403"/>
      <c r="DH117" s="1404"/>
      <c r="DI117" s="1403"/>
      <c r="DJ117" s="86"/>
      <c r="DK117" s="86"/>
      <c r="DL117" s="86"/>
      <c r="DM117"/>
      <c r="DN117" s="769"/>
      <c r="DQ117" s="1401"/>
      <c r="DR117" s="1400"/>
    </row>
    <row r="118" spans="1:122" s="554" customFormat="1">
      <c r="A118" s="769"/>
      <c r="B118" s="1412"/>
      <c r="C118" s="769"/>
      <c r="D118" s="769"/>
      <c r="E118" s="769"/>
      <c r="F118" s="769"/>
      <c r="G118" s="769"/>
      <c r="H118" s="769"/>
      <c r="I118" s="769"/>
      <c r="J118" s="769"/>
      <c r="K118" s="769"/>
      <c r="L118" s="769"/>
      <c r="M118" s="769"/>
      <c r="N118" s="769"/>
      <c r="O118" s="769"/>
      <c r="P118" s="769"/>
      <c r="Q118" s="769"/>
      <c r="R118" s="769"/>
      <c r="S118" s="769"/>
      <c r="T118" s="769"/>
      <c r="U118" s="769"/>
      <c r="V118" s="769"/>
      <c r="W118" s="769"/>
      <c r="X118" s="769"/>
      <c r="Y118" s="769"/>
      <c r="Z118" s="769"/>
      <c r="AA118" s="769"/>
      <c r="AB118" s="769"/>
      <c r="AC118" s="769"/>
      <c r="AD118" s="769"/>
      <c r="AE118" s="769"/>
      <c r="AF118" s="769"/>
      <c r="AG118" s="769"/>
      <c r="AH118" s="1413"/>
      <c r="AI118" s="769"/>
      <c r="AJ118" s="769"/>
      <c r="AK118" s="769"/>
      <c r="AL118" s="769"/>
      <c r="AM118" s="769"/>
      <c r="AN118" s="769"/>
      <c r="AO118" s="769"/>
      <c r="AP118" s="769"/>
      <c r="AQ118" s="769"/>
      <c r="AR118" s="769"/>
      <c r="AS118" s="769"/>
      <c r="AT118" s="769"/>
      <c r="AU118" s="769"/>
      <c r="AV118" s="769"/>
      <c r="AW118" s="769"/>
      <c r="AX118" s="769"/>
      <c r="AY118" s="1582"/>
      <c r="AZ118" s="1583"/>
      <c r="BA118" s="769"/>
      <c r="BB118" s="769"/>
      <c r="BC118" s="769"/>
      <c r="BD118" s="769"/>
      <c r="BE118" s="769"/>
      <c r="BF118" s="769"/>
      <c r="BG118" s="769"/>
      <c r="BH118" s="769"/>
      <c r="BI118" s="769"/>
      <c r="BJ118" s="769"/>
      <c r="BK118" s="769"/>
      <c r="BL118" s="769"/>
      <c r="BM118" s="769"/>
      <c r="BN118" s="769"/>
      <c r="BO118" s="769"/>
      <c r="BP118" s="769"/>
      <c r="BQ118" s="769"/>
      <c r="BR118" s="769"/>
      <c r="BS118" s="769"/>
      <c r="BT118" s="769"/>
      <c r="BU118" s="769"/>
      <c r="BV118" s="769"/>
      <c r="BW118" s="769"/>
      <c r="BX118"/>
      <c r="BY118"/>
      <c r="BZ118"/>
      <c r="CA118"/>
      <c r="CB118"/>
      <c r="CC118"/>
      <c r="CD118"/>
      <c r="CE118"/>
      <c r="CF118"/>
      <c r="CG118"/>
      <c r="CH118"/>
      <c r="CI118"/>
      <c r="CJ118"/>
      <c r="CK118"/>
      <c r="CL118"/>
      <c r="CM118"/>
      <c r="CN118"/>
      <c r="CO118"/>
      <c r="CP118"/>
      <c r="CQ118" s="1406"/>
      <c r="CR118" s="81"/>
      <c r="CS118" s="81"/>
      <c r="CT118" s="81"/>
      <c r="CU118" s="81"/>
      <c r="CV118" s="81"/>
      <c r="CW118" s="81"/>
      <c r="CX118" s="81"/>
      <c r="CY118" s="81"/>
      <c r="CZ118" s="81"/>
      <c r="DA118" s="81"/>
      <c r="DB118" s="81"/>
      <c r="DC118" s="81"/>
      <c r="DD118" s="81"/>
      <c r="DE118" s="1403"/>
      <c r="DF118" s="1405"/>
      <c r="DG118" s="1403"/>
      <c r="DH118" s="1404"/>
      <c r="DI118" s="1403"/>
      <c r="DJ118" s="86"/>
      <c r="DK118" s="86"/>
      <c r="DL118" s="86"/>
      <c r="DM118"/>
      <c r="DN118" s="769"/>
      <c r="DQ118" s="1401"/>
      <c r="DR118" s="1400"/>
    </row>
    <row r="119" spans="1:122" s="554" customFormat="1">
      <c r="A119" s="769"/>
      <c r="B119" s="1412"/>
      <c r="C119" s="769"/>
      <c r="D119" s="769"/>
      <c r="E119" s="769"/>
      <c r="F119" s="769"/>
      <c r="G119" s="769"/>
      <c r="H119" s="769"/>
      <c r="I119" s="769"/>
      <c r="J119" s="769"/>
      <c r="K119" s="769"/>
      <c r="L119" s="769"/>
      <c r="M119" s="769"/>
      <c r="N119" s="769"/>
      <c r="O119" s="769"/>
      <c r="P119" s="769"/>
      <c r="Q119" s="769"/>
      <c r="R119" s="769"/>
      <c r="S119" s="769"/>
      <c r="T119" s="769"/>
      <c r="U119" s="769"/>
      <c r="V119" s="769"/>
      <c r="W119" s="769"/>
      <c r="X119" s="769"/>
      <c r="Y119" s="769"/>
      <c r="Z119" s="769"/>
      <c r="AA119" s="769"/>
      <c r="AB119" s="769"/>
      <c r="AC119" s="769"/>
      <c r="AD119" s="769"/>
      <c r="AE119" s="769"/>
      <c r="AF119" s="769"/>
      <c r="AG119" s="769"/>
      <c r="AH119" s="1413"/>
      <c r="AI119" s="769"/>
      <c r="AJ119" s="769"/>
      <c r="AK119" s="769"/>
      <c r="AL119" s="769"/>
      <c r="AM119" s="769"/>
      <c r="AN119" s="769"/>
      <c r="AO119" s="769"/>
      <c r="AP119" s="769"/>
      <c r="AQ119" s="769"/>
      <c r="AR119" s="769"/>
      <c r="AS119" s="769"/>
      <c r="AT119" s="769"/>
      <c r="AU119" s="769"/>
      <c r="AV119" s="769"/>
      <c r="AW119" s="769"/>
      <c r="AX119" s="769"/>
      <c r="AY119" s="1582"/>
      <c r="AZ119" s="1583"/>
      <c r="BA119" s="769"/>
      <c r="BB119" s="769"/>
      <c r="BC119" s="769"/>
      <c r="BD119" s="769"/>
      <c r="BE119" s="769"/>
      <c r="BF119" s="769"/>
      <c r="BG119" s="769"/>
      <c r="BH119" s="769"/>
      <c r="BI119" s="769"/>
      <c r="BJ119" s="769"/>
      <c r="BK119" s="769"/>
      <c r="BL119" s="769"/>
      <c r="BM119" s="769"/>
      <c r="BN119" s="769"/>
      <c r="BO119" s="769"/>
      <c r="BP119" s="769"/>
      <c r="BQ119" s="769"/>
      <c r="BR119" s="769"/>
      <c r="BS119" s="769"/>
      <c r="BT119" s="769"/>
      <c r="BU119" s="769"/>
      <c r="BV119" s="769"/>
      <c r="BW119" s="769"/>
      <c r="BX119"/>
      <c r="BY119"/>
      <c r="BZ119"/>
      <c r="CA119"/>
      <c r="CB119"/>
      <c r="CC119"/>
      <c r="CD119"/>
      <c r="CE119"/>
      <c r="CF119"/>
      <c r="CG119"/>
      <c r="CH119"/>
      <c r="CI119"/>
      <c r="CJ119"/>
      <c r="CK119"/>
      <c r="CL119"/>
      <c r="CM119"/>
      <c r="CN119"/>
      <c r="CO119"/>
      <c r="CP119"/>
      <c r="CQ119" s="1406"/>
      <c r="CR119" s="81"/>
      <c r="CS119" s="81"/>
      <c r="CT119" s="81"/>
      <c r="CU119" s="81"/>
      <c r="CV119" s="81"/>
      <c r="CW119" s="81"/>
      <c r="CX119" s="81"/>
      <c r="CY119" s="81"/>
      <c r="CZ119" s="81"/>
      <c r="DA119" s="81"/>
      <c r="DB119" s="81"/>
      <c r="DC119" s="81"/>
      <c r="DD119" s="81"/>
      <c r="DE119" s="1403"/>
      <c r="DF119" s="1405"/>
      <c r="DG119" s="1403"/>
      <c r="DH119" s="1404"/>
      <c r="DI119" s="1403"/>
      <c r="DJ119" s="86"/>
      <c r="DK119" s="86"/>
      <c r="DL119" s="86"/>
      <c r="DM119"/>
      <c r="DN119" s="769"/>
      <c r="DQ119" s="1401"/>
      <c r="DR119" s="1400"/>
    </row>
    <row r="120" spans="1:122" s="554" customFormat="1">
      <c r="A120" s="769"/>
      <c r="B120" s="1412"/>
      <c r="C120" s="769"/>
      <c r="D120" s="769"/>
      <c r="E120" s="769"/>
      <c r="F120" s="769"/>
      <c r="G120" s="769"/>
      <c r="H120" s="769"/>
      <c r="I120" s="769"/>
      <c r="J120" s="769"/>
      <c r="K120" s="769"/>
      <c r="L120" s="769"/>
      <c r="M120" s="769"/>
      <c r="N120" s="769"/>
      <c r="O120" s="769"/>
      <c r="P120" s="769"/>
      <c r="Q120" s="769"/>
      <c r="R120" s="769"/>
      <c r="S120" s="769"/>
      <c r="T120" s="769"/>
      <c r="U120" s="769"/>
      <c r="V120" s="769"/>
      <c r="W120" s="769"/>
      <c r="X120" s="769"/>
      <c r="Y120" s="769"/>
      <c r="Z120" s="769"/>
      <c r="AA120" s="769"/>
      <c r="AB120" s="769"/>
      <c r="AC120" s="769"/>
      <c r="AD120" s="769"/>
      <c r="AE120" s="769"/>
      <c r="AF120" s="769"/>
      <c r="AG120" s="769"/>
      <c r="AH120" s="1413"/>
      <c r="AI120" s="769"/>
      <c r="AJ120" s="769"/>
      <c r="AK120" s="769"/>
      <c r="AL120" s="769"/>
      <c r="AM120" s="769"/>
      <c r="AN120" s="769"/>
      <c r="AO120" s="769"/>
      <c r="AP120" s="769"/>
      <c r="AQ120" s="769"/>
      <c r="AR120" s="769"/>
      <c r="AS120" s="769"/>
      <c r="AT120" s="769"/>
      <c r="AU120" s="769"/>
      <c r="AV120" s="769"/>
      <c r="AW120" s="769"/>
      <c r="AX120" s="769"/>
      <c r="AY120" s="1582"/>
      <c r="AZ120" s="1583"/>
      <c r="BA120" s="769"/>
      <c r="BB120" s="769"/>
      <c r="BC120" s="769"/>
      <c r="BD120" s="769"/>
      <c r="BE120" s="769"/>
      <c r="BF120" s="769"/>
      <c r="BG120" s="769"/>
      <c r="BH120" s="769"/>
      <c r="BI120" s="769"/>
      <c r="BJ120" s="769"/>
      <c r="BK120" s="769"/>
      <c r="BL120" s="769"/>
      <c r="BM120" s="769"/>
      <c r="BN120" s="769"/>
      <c r="BO120" s="769"/>
      <c r="BP120" s="769"/>
      <c r="BQ120" s="769"/>
      <c r="BR120" s="769"/>
      <c r="BS120" s="769"/>
      <c r="BT120" s="769"/>
      <c r="BU120" s="769"/>
      <c r="BV120" s="769"/>
      <c r="BW120" s="769"/>
      <c r="BX120"/>
      <c r="BY120"/>
      <c r="BZ120"/>
      <c r="CA120"/>
      <c r="CB120"/>
      <c r="CC120"/>
      <c r="CD120"/>
      <c r="CE120"/>
      <c r="CF120"/>
      <c r="CG120"/>
      <c r="CH120"/>
      <c r="CI120"/>
      <c r="CJ120"/>
      <c r="CK120"/>
      <c r="CL120"/>
      <c r="CM120"/>
      <c r="CN120"/>
      <c r="CO120"/>
      <c r="CP120"/>
      <c r="CQ120" s="1406"/>
      <c r="CR120" s="81"/>
      <c r="CS120" s="81"/>
      <c r="CT120" s="81"/>
      <c r="CU120" s="81"/>
      <c r="CV120" s="81"/>
      <c r="CW120" s="81"/>
      <c r="CX120" s="81"/>
      <c r="CY120" s="81"/>
      <c r="CZ120" s="81"/>
      <c r="DA120" s="81"/>
      <c r="DB120" s="81"/>
      <c r="DC120" s="81"/>
      <c r="DD120" s="81"/>
      <c r="DE120" s="1403"/>
      <c r="DF120" s="1405"/>
      <c r="DG120" s="1403"/>
      <c r="DH120" s="1404"/>
      <c r="DI120" s="1403"/>
      <c r="DJ120" s="86"/>
      <c r="DK120" s="86"/>
      <c r="DL120" s="86"/>
      <c r="DM120"/>
      <c r="DN120" s="769"/>
      <c r="DQ120" s="1401"/>
      <c r="DR120" s="1400"/>
    </row>
    <row r="121" spans="1:122" s="554" customFormat="1">
      <c r="A121" s="769"/>
      <c r="B121" s="1412"/>
      <c r="C121" s="769"/>
      <c r="D121" s="769"/>
      <c r="E121" s="769"/>
      <c r="F121" s="769"/>
      <c r="G121" s="769"/>
      <c r="H121" s="769"/>
      <c r="I121" s="769"/>
      <c r="J121" s="769"/>
      <c r="K121" s="769"/>
      <c r="L121" s="769"/>
      <c r="M121" s="769"/>
      <c r="N121" s="769"/>
      <c r="O121" s="769"/>
      <c r="P121" s="769"/>
      <c r="Q121" s="769"/>
      <c r="R121" s="769"/>
      <c r="S121" s="769"/>
      <c r="T121" s="769"/>
      <c r="U121" s="769"/>
      <c r="V121" s="769"/>
      <c r="W121" s="769"/>
      <c r="X121" s="769"/>
      <c r="Y121" s="769"/>
      <c r="Z121" s="769"/>
      <c r="AA121" s="769"/>
      <c r="AB121" s="769"/>
      <c r="AC121" s="769"/>
      <c r="AD121" s="769"/>
      <c r="AE121" s="769"/>
      <c r="AF121" s="769"/>
      <c r="AG121" s="769"/>
      <c r="AH121" s="1413"/>
      <c r="AI121" s="769"/>
      <c r="AJ121" s="769"/>
      <c r="AK121" s="769"/>
      <c r="AL121" s="769"/>
      <c r="AM121" s="769"/>
      <c r="AN121" s="769"/>
      <c r="AO121" s="769"/>
      <c r="AP121" s="769"/>
      <c r="AQ121" s="769"/>
      <c r="AR121" s="769"/>
      <c r="AS121" s="769"/>
      <c r="AT121" s="769"/>
      <c r="AU121" s="769"/>
      <c r="AV121" s="769"/>
      <c r="AW121" s="769"/>
      <c r="AX121" s="769"/>
      <c r="AY121" s="1582"/>
      <c r="AZ121" s="1583"/>
      <c r="BA121" s="769"/>
      <c r="BB121" s="769"/>
      <c r="BC121" s="769"/>
      <c r="BD121" s="769"/>
      <c r="BE121" s="769"/>
      <c r="BF121" s="769"/>
      <c r="BG121" s="769"/>
      <c r="BH121" s="769"/>
      <c r="BI121" s="769"/>
      <c r="BJ121" s="769"/>
      <c r="BK121" s="769"/>
      <c r="BL121" s="769"/>
      <c r="BM121" s="769"/>
      <c r="BN121" s="769"/>
      <c r="BO121" s="769"/>
      <c r="BP121" s="769"/>
      <c r="BQ121" s="769"/>
      <c r="BR121" s="769"/>
      <c r="BS121" s="769"/>
      <c r="BT121" s="769"/>
      <c r="BU121" s="769"/>
      <c r="BV121" s="769"/>
      <c r="BW121" s="769"/>
      <c r="BX121"/>
      <c r="BY121"/>
      <c r="BZ121"/>
      <c r="CA121"/>
      <c r="CB121"/>
      <c r="CC121"/>
      <c r="CD121"/>
      <c r="CE121"/>
      <c r="CF121"/>
      <c r="CG121"/>
      <c r="CH121"/>
      <c r="CI121"/>
      <c r="CJ121"/>
      <c r="CK121"/>
      <c r="CL121"/>
      <c r="CM121"/>
      <c r="CN121"/>
      <c r="CO121"/>
      <c r="CP121"/>
      <c r="CQ121" s="1406"/>
      <c r="CR121" s="81"/>
      <c r="CS121" s="81"/>
      <c r="CT121" s="81"/>
      <c r="CU121" s="81"/>
      <c r="CV121" s="81"/>
      <c r="CW121" s="81"/>
      <c r="CX121" s="81"/>
      <c r="CY121" s="81"/>
      <c r="CZ121" s="81"/>
      <c r="DA121" s="81"/>
      <c r="DB121" s="81"/>
      <c r="DC121" s="81"/>
      <c r="DD121" s="81"/>
      <c r="DE121" s="1403"/>
      <c r="DF121" s="1405"/>
      <c r="DG121" s="1403"/>
      <c r="DH121" s="1404"/>
      <c r="DI121" s="1403"/>
      <c r="DJ121" s="86"/>
      <c r="DK121" s="86"/>
      <c r="DL121" s="86"/>
      <c r="DM121"/>
      <c r="DN121" s="769"/>
      <c r="DQ121" s="1401"/>
      <c r="DR121" s="1400"/>
    </row>
    <row r="122" spans="1:122" s="554" customFormat="1">
      <c r="A122" s="769"/>
      <c r="B122" s="1412"/>
      <c r="C122" s="769"/>
      <c r="D122" s="769"/>
      <c r="E122" s="769"/>
      <c r="F122" s="769"/>
      <c r="G122" s="769"/>
      <c r="H122" s="769"/>
      <c r="I122" s="769"/>
      <c r="J122" s="769"/>
      <c r="K122" s="769"/>
      <c r="L122" s="769"/>
      <c r="M122" s="769"/>
      <c r="N122" s="769"/>
      <c r="O122" s="769"/>
      <c r="P122" s="769"/>
      <c r="Q122" s="769"/>
      <c r="R122" s="769"/>
      <c r="S122" s="769"/>
      <c r="T122" s="769"/>
      <c r="U122" s="769"/>
      <c r="V122" s="769"/>
      <c r="W122" s="769"/>
      <c r="X122" s="769"/>
      <c r="Y122" s="769"/>
      <c r="Z122" s="769"/>
      <c r="AA122" s="769"/>
      <c r="AB122" s="769"/>
      <c r="AC122" s="769"/>
      <c r="AD122" s="769"/>
      <c r="AE122" s="769"/>
      <c r="AF122" s="769"/>
      <c r="AG122" s="769"/>
      <c r="AH122" s="1413"/>
      <c r="AI122" s="769"/>
      <c r="AJ122" s="769"/>
      <c r="AK122" s="769"/>
      <c r="AL122" s="769"/>
      <c r="AM122" s="769"/>
      <c r="AN122" s="769"/>
      <c r="AO122" s="769"/>
      <c r="AP122" s="769"/>
      <c r="AQ122" s="769"/>
      <c r="AR122" s="769"/>
      <c r="AS122" s="769"/>
      <c r="AT122" s="769"/>
      <c r="AU122" s="769"/>
      <c r="AV122" s="769"/>
      <c r="AW122" s="769"/>
      <c r="AX122" s="769"/>
      <c r="AY122" s="1582"/>
      <c r="AZ122" s="1583"/>
      <c r="BA122" s="769"/>
      <c r="BB122" s="769"/>
      <c r="BC122" s="769"/>
      <c r="BD122" s="769"/>
      <c r="BE122" s="769"/>
      <c r="BF122" s="769"/>
      <c r="BG122" s="769"/>
      <c r="BH122" s="769"/>
      <c r="BI122" s="769"/>
      <c r="BJ122" s="769"/>
      <c r="BK122" s="769"/>
      <c r="BL122" s="769"/>
      <c r="BM122" s="769"/>
      <c r="BN122" s="769"/>
      <c r="BO122" s="769"/>
      <c r="BP122" s="769"/>
      <c r="BQ122" s="769"/>
      <c r="BR122" s="769"/>
      <c r="BS122" s="769"/>
      <c r="BT122" s="769"/>
      <c r="BU122" s="769"/>
      <c r="BV122" s="769"/>
      <c r="BW122" s="769"/>
      <c r="BX122"/>
      <c r="BY122"/>
      <c r="BZ122"/>
      <c r="CA122"/>
      <c r="CB122"/>
      <c r="CC122"/>
      <c r="CD122"/>
      <c r="CE122"/>
      <c r="CF122"/>
      <c r="CG122"/>
      <c r="CH122"/>
      <c r="CI122"/>
      <c r="CJ122"/>
      <c r="CK122"/>
      <c r="CL122"/>
      <c r="CM122"/>
      <c r="CN122"/>
      <c r="CO122"/>
      <c r="CP122"/>
      <c r="CQ122" s="1406"/>
      <c r="CR122" s="81"/>
      <c r="CS122" s="81"/>
      <c r="CT122" s="81"/>
      <c r="CU122" s="81"/>
      <c r="CV122" s="81"/>
      <c r="CW122" s="81"/>
      <c r="CX122" s="81"/>
      <c r="CY122" s="81"/>
      <c r="CZ122" s="81"/>
      <c r="DA122" s="81"/>
      <c r="DB122" s="81"/>
      <c r="DC122" s="81"/>
      <c r="DD122" s="81"/>
      <c r="DE122" s="1403"/>
      <c r="DF122" s="1405"/>
      <c r="DG122" s="1403"/>
      <c r="DH122" s="1404"/>
      <c r="DI122" s="1403"/>
      <c r="DJ122" s="86"/>
      <c r="DK122" s="86"/>
      <c r="DL122" s="86"/>
      <c r="DM122"/>
      <c r="DN122" s="769"/>
      <c r="DQ122" s="1401"/>
      <c r="DR122" s="1400"/>
    </row>
    <row r="123" spans="1:122" s="554" customFormat="1">
      <c r="A123" s="769"/>
      <c r="B123" s="1412"/>
      <c r="C123" s="769"/>
      <c r="D123" s="769"/>
      <c r="E123" s="769"/>
      <c r="F123" s="769"/>
      <c r="G123" s="769"/>
      <c r="H123" s="769"/>
      <c r="I123" s="769"/>
      <c r="J123" s="769"/>
      <c r="K123" s="769"/>
      <c r="L123" s="769"/>
      <c r="M123" s="769"/>
      <c r="N123" s="769"/>
      <c r="O123" s="769"/>
      <c r="P123" s="769"/>
      <c r="Q123" s="769"/>
      <c r="R123" s="769"/>
      <c r="S123" s="769"/>
      <c r="T123" s="769"/>
      <c r="U123" s="769"/>
      <c r="V123" s="769"/>
      <c r="W123" s="769"/>
      <c r="X123" s="769"/>
      <c r="Y123" s="769"/>
      <c r="Z123" s="769"/>
      <c r="AA123" s="769"/>
      <c r="AB123" s="769"/>
      <c r="AC123" s="769"/>
      <c r="AD123" s="769"/>
      <c r="AE123" s="769"/>
      <c r="AF123" s="769"/>
      <c r="AG123" s="769"/>
      <c r="AH123" s="1413"/>
      <c r="AI123" s="769"/>
      <c r="AJ123" s="769"/>
      <c r="AK123" s="769"/>
      <c r="AL123" s="769"/>
      <c r="AM123" s="769"/>
      <c r="AN123" s="769"/>
      <c r="AO123" s="769"/>
      <c r="AP123" s="769"/>
      <c r="AQ123" s="769"/>
      <c r="AR123" s="769"/>
      <c r="AS123" s="769"/>
      <c r="AT123" s="769"/>
      <c r="AU123" s="769"/>
      <c r="AV123" s="769"/>
      <c r="AW123" s="769"/>
      <c r="AX123" s="769"/>
      <c r="AY123" s="1582"/>
      <c r="AZ123" s="1583"/>
      <c r="BA123" s="769"/>
      <c r="BB123" s="769"/>
      <c r="BC123" s="769"/>
      <c r="BD123" s="769"/>
      <c r="BE123" s="769"/>
      <c r="BF123" s="769"/>
      <c r="BG123" s="769"/>
      <c r="BH123" s="769"/>
      <c r="BI123" s="769"/>
      <c r="BJ123" s="769"/>
      <c r="BK123" s="769"/>
      <c r="BL123" s="769"/>
      <c r="BM123" s="769"/>
      <c r="BN123" s="769"/>
      <c r="BO123" s="769"/>
      <c r="BP123" s="769"/>
      <c r="BQ123" s="769"/>
      <c r="BR123" s="769"/>
      <c r="BS123" s="769"/>
      <c r="BT123" s="769"/>
      <c r="BU123" s="769"/>
      <c r="BV123" s="769"/>
      <c r="BW123" s="769"/>
      <c r="BX123"/>
      <c r="BY123"/>
      <c r="BZ123"/>
      <c r="CA123"/>
      <c r="CB123"/>
      <c r="CC123"/>
      <c r="CD123"/>
      <c r="CE123"/>
      <c r="CF123"/>
      <c r="CG123"/>
      <c r="CH123"/>
      <c r="CI123"/>
      <c r="CJ123"/>
      <c r="CK123"/>
      <c r="CL123"/>
      <c r="CM123"/>
      <c r="CN123"/>
      <c r="CO123"/>
      <c r="CP123"/>
      <c r="CQ123" s="1406"/>
      <c r="CR123" s="81"/>
      <c r="CS123" s="81"/>
      <c r="CT123" s="81"/>
      <c r="CU123" s="81"/>
      <c r="CV123" s="81"/>
      <c r="CW123" s="81"/>
      <c r="CX123" s="81"/>
      <c r="CY123" s="81"/>
      <c r="CZ123" s="81"/>
      <c r="DA123" s="81"/>
      <c r="DB123" s="81"/>
      <c r="DC123" s="81"/>
      <c r="DD123" s="81"/>
      <c r="DE123" s="1403"/>
      <c r="DF123" s="1405"/>
      <c r="DG123" s="1403"/>
      <c r="DH123" s="1404"/>
      <c r="DI123" s="1403"/>
      <c r="DJ123" s="86"/>
      <c r="DK123" s="86"/>
      <c r="DL123" s="86"/>
      <c r="DM123"/>
      <c r="DN123" s="769"/>
      <c r="DQ123" s="1401"/>
      <c r="DR123" s="1400"/>
    </row>
    <row r="124" spans="1:122" s="554" customFormat="1">
      <c r="A124" s="769"/>
      <c r="B124" s="1412"/>
      <c r="C124" s="769"/>
      <c r="D124" s="769"/>
      <c r="E124" s="769"/>
      <c r="F124" s="769"/>
      <c r="G124" s="769"/>
      <c r="H124" s="769"/>
      <c r="I124" s="769"/>
      <c r="J124" s="769"/>
      <c r="K124" s="769"/>
      <c r="L124" s="769"/>
      <c r="M124" s="769"/>
      <c r="N124" s="769"/>
      <c r="O124" s="769"/>
      <c r="P124" s="769"/>
      <c r="Q124" s="769"/>
      <c r="R124" s="769"/>
      <c r="S124" s="769"/>
      <c r="T124" s="769"/>
      <c r="U124" s="769"/>
      <c r="V124" s="769"/>
      <c r="W124" s="769"/>
      <c r="X124" s="769"/>
      <c r="Y124" s="769"/>
      <c r="Z124" s="769"/>
      <c r="AA124" s="769"/>
      <c r="AB124" s="769"/>
      <c r="AC124" s="769"/>
      <c r="AD124" s="769"/>
      <c r="AE124" s="769"/>
      <c r="AF124" s="769"/>
      <c r="AG124" s="769"/>
      <c r="AH124" s="1413"/>
      <c r="AI124" s="769"/>
      <c r="AJ124" s="769"/>
      <c r="AK124" s="769"/>
      <c r="AL124" s="769"/>
      <c r="AM124" s="769"/>
      <c r="AN124" s="769"/>
      <c r="AO124" s="769"/>
      <c r="AP124" s="769"/>
      <c r="AQ124" s="769"/>
      <c r="AR124" s="769"/>
      <c r="AS124" s="769"/>
      <c r="AT124" s="769"/>
      <c r="AU124" s="769"/>
      <c r="AV124" s="769"/>
      <c r="AW124" s="769"/>
      <c r="AX124" s="769"/>
      <c r="AY124" s="1582"/>
      <c r="AZ124" s="1583"/>
      <c r="BA124" s="769"/>
      <c r="BB124" s="769"/>
      <c r="BC124" s="769"/>
      <c r="BD124" s="769"/>
      <c r="BE124" s="769"/>
      <c r="BF124" s="769"/>
      <c r="BG124" s="769"/>
      <c r="BH124" s="769"/>
      <c r="BI124" s="769"/>
      <c r="BJ124" s="769"/>
      <c r="BK124" s="769"/>
      <c r="BL124" s="769"/>
      <c r="BM124" s="769"/>
      <c r="BN124" s="769"/>
      <c r="BO124" s="769"/>
      <c r="BP124" s="769"/>
      <c r="BQ124" s="769"/>
      <c r="BR124" s="769"/>
      <c r="BS124" s="769"/>
      <c r="BT124" s="769"/>
      <c r="BU124" s="769"/>
      <c r="BV124" s="769"/>
      <c r="BW124" s="769"/>
      <c r="BX124"/>
      <c r="BY124"/>
      <c r="BZ124"/>
      <c r="CA124"/>
      <c r="CB124"/>
      <c r="CC124"/>
      <c r="CD124"/>
      <c r="CE124"/>
      <c r="CF124"/>
      <c r="CG124"/>
      <c r="CH124"/>
      <c r="CI124"/>
      <c r="CJ124"/>
      <c r="CK124"/>
      <c r="CL124"/>
      <c r="CM124"/>
      <c r="CN124"/>
      <c r="CO124"/>
      <c r="CP124"/>
      <c r="CQ124" s="1406"/>
      <c r="CR124" s="81"/>
      <c r="CS124" s="81"/>
      <c r="CT124" s="81"/>
      <c r="CU124" s="81"/>
      <c r="CV124" s="81"/>
      <c r="CW124" s="81"/>
      <c r="CX124" s="81"/>
      <c r="CY124" s="81"/>
      <c r="CZ124" s="81"/>
      <c r="DA124" s="81"/>
      <c r="DB124" s="81"/>
      <c r="DC124" s="81"/>
      <c r="DD124" s="81"/>
      <c r="DE124" s="1403"/>
      <c r="DF124" s="1405"/>
      <c r="DG124" s="1403"/>
      <c r="DH124" s="1404"/>
      <c r="DI124" s="1403"/>
      <c r="DJ124" s="86"/>
      <c r="DK124" s="86"/>
      <c r="DL124" s="86"/>
      <c r="DM124"/>
      <c r="DN124" s="769"/>
      <c r="DQ124" s="1401"/>
      <c r="DR124" s="1400"/>
    </row>
    <row r="125" spans="1:122" s="554" customFormat="1">
      <c r="A125" s="769"/>
      <c r="B125" s="1412"/>
      <c r="C125" s="769"/>
      <c r="D125" s="769"/>
      <c r="E125" s="769"/>
      <c r="F125" s="769"/>
      <c r="G125" s="769"/>
      <c r="H125" s="769"/>
      <c r="I125" s="769"/>
      <c r="J125" s="769"/>
      <c r="K125" s="769"/>
      <c r="L125" s="769"/>
      <c r="M125" s="769"/>
      <c r="N125" s="769"/>
      <c r="O125" s="769"/>
      <c r="P125" s="769"/>
      <c r="Q125" s="769"/>
      <c r="R125" s="769"/>
      <c r="S125" s="769"/>
      <c r="T125" s="769"/>
      <c r="U125" s="769"/>
      <c r="V125" s="769"/>
      <c r="W125" s="769"/>
      <c r="X125" s="769"/>
      <c r="Y125" s="769"/>
      <c r="Z125" s="769"/>
      <c r="AA125" s="769"/>
      <c r="AB125" s="769"/>
      <c r="AC125" s="769"/>
      <c r="AD125" s="769"/>
      <c r="AE125" s="769"/>
      <c r="AF125" s="769"/>
      <c r="AG125" s="769"/>
      <c r="AH125" s="1413"/>
      <c r="AI125" s="769"/>
      <c r="AJ125" s="769"/>
      <c r="AK125" s="769"/>
      <c r="AL125" s="769"/>
      <c r="AM125" s="769"/>
      <c r="AN125" s="769"/>
      <c r="AO125" s="769"/>
      <c r="AP125" s="769"/>
      <c r="AQ125" s="769"/>
      <c r="AR125" s="769"/>
      <c r="AS125" s="769"/>
      <c r="AT125" s="769"/>
      <c r="AU125" s="769"/>
      <c r="AV125" s="769"/>
      <c r="AW125" s="769"/>
      <c r="AX125" s="769"/>
      <c r="AY125" s="1582"/>
      <c r="AZ125" s="1583"/>
      <c r="BA125" s="769"/>
      <c r="BB125" s="769"/>
      <c r="BC125" s="769"/>
      <c r="BD125" s="769"/>
      <c r="BE125" s="769"/>
      <c r="BF125" s="769"/>
      <c r="BG125" s="769"/>
      <c r="BH125" s="769"/>
      <c r="BI125" s="769"/>
      <c r="BJ125" s="769"/>
      <c r="BK125" s="769"/>
      <c r="BL125" s="769"/>
      <c r="BM125" s="769"/>
      <c r="BN125" s="769"/>
      <c r="BO125" s="769"/>
      <c r="BP125" s="769"/>
      <c r="BQ125" s="769"/>
      <c r="BR125" s="769"/>
      <c r="BS125" s="769"/>
      <c r="BT125" s="769"/>
      <c r="BU125" s="769"/>
      <c r="BV125" s="769"/>
      <c r="BW125" s="769"/>
      <c r="BX125"/>
      <c r="BY125"/>
      <c r="BZ125"/>
      <c r="CA125"/>
      <c r="CB125"/>
      <c r="CC125"/>
      <c r="CD125"/>
      <c r="CE125"/>
      <c r="CF125"/>
      <c r="CG125"/>
      <c r="CH125"/>
      <c r="CI125"/>
      <c r="CJ125"/>
      <c r="CK125"/>
      <c r="CL125"/>
      <c r="CM125"/>
      <c r="CN125"/>
      <c r="CO125"/>
      <c r="CP125"/>
      <c r="CQ125" s="1406"/>
      <c r="CR125" s="81"/>
      <c r="CS125" s="81"/>
      <c r="CT125" s="81"/>
      <c r="CU125" s="81"/>
      <c r="CV125" s="81"/>
      <c r="CW125" s="81"/>
      <c r="CX125" s="81"/>
      <c r="CY125" s="81"/>
      <c r="CZ125" s="81"/>
      <c r="DA125" s="81"/>
      <c r="DB125" s="81"/>
      <c r="DC125" s="81"/>
      <c r="DD125" s="81"/>
      <c r="DE125" s="1403"/>
      <c r="DF125" s="1405"/>
      <c r="DG125" s="1403"/>
      <c r="DH125" s="1404"/>
      <c r="DI125" s="1403"/>
      <c r="DJ125" s="86"/>
      <c r="DK125" s="86"/>
      <c r="DL125" s="86"/>
      <c r="DM125"/>
      <c r="DN125" s="769"/>
      <c r="DQ125" s="1401"/>
      <c r="DR125" s="1400"/>
    </row>
    <row r="126" spans="1:122" s="554" customFormat="1">
      <c r="A126" s="769"/>
      <c r="B126" s="1412"/>
      <c r="C126" s="769"/>
      <c r="D126" s="769"/>
      <c r="E126" s="769"/>
      <c r="F126" s="769"/>
      <c r="G126" s="769"/>
      <c r="H126" s="769"/>
      <c r="I126" s="769"/>
      <c r="J126" s="769"/>
      <c r="K126" s="769"/>
      <c r="L126" s="769"/>
      <c r="M126" s="769"/>
      <c r="N126" s="769"/>
      <c r="O126" s="769"/>
      <c r="P126" s="769"/>
      <c r="Q126" s="769"/>
      <c r="R126" s="769"/>
      <c r="S126" s="769"/>
      <c r="T126" s="769"/>
      <c r="U126" s="769"/>
      <c r="V126" s="769"/>
      <c r="W126" s="769"/>
      <c r="X126" s="769"/>
      <c r="Y126" s="769"/>
      <c r="Z126" s="769"/>
      <c r="AA126" s="769"/>
      <c r="AB126" s="769"/>
      <c r="AC126" s="769"/>
      <c r="AD126" s="769"/>
      <c r="AE126" s="769"/>
      <c r="AF126" s="769"/>
      <c r="AG126" s="769"/>
      <c r="AH126" s="1413"/>
      <c r="AI126" s="769"/>
      <c r="AJ126" s="769"/>
      <c r="AK126" s="769"/>
      <c r="AL126" s="769"/>
      <c r="AM126" s="769"/>
      <c r="AN126" s="769"/>
      <c r="AO126" s="769"/>
      <c r="AP126" s="769"/>
      <c r="AQ126" s="769"/>
      <c r="AR126" s="769"/>
      <c r="AS126" s="769"/>
      <c r="AT126" s="769"/>
      <c r="AU126" s="769"/>
      <c r="AV126" s="769"/>
      <c r="AW126" s="769"/>
      <c r="AX126" s="769"/>
      <c r="AY126" s="1582"/>
      <c r="AZ126" s="1583"/>
      <c r="BA126" s="769"/>
      <c r="BB126" s="769"/>
      <c r="BC126" s="769"/>
      <c r="BD126" s="769"/>
      <c r="BE126" s="769"/>
      <c r="BF126" s="769"/>
      <c r="BG126" s="769"/>
      <c r="BH126" s="769"/>
      <c r="BI126" s="769"/>
      <c r="BJ126" s="769"/>
      <c r="BK126" s="769"/>
      <c r="BL126" s="769"/>
      <c r="BM126" s="769"/>
      <c r="BN126" s="769"/>
      <c r="BO126" s="769"/>
      <c r="BP126" s="769"/>
      <c r="BQ126" s="769"/>
      <c r="BR126" s="769"/>
      <c r="BS126" s="769"/>
      <c r="BT126" s="769"/>
      <c r="BU126" s="769"/>
      <c r="BV126" s="769"/>
      <c r="BW126" s="769"/>
      <c r="BX126"/>
      <c r="BY126"/>
      <c r="BZ126"/>
      <c r="CA126"/>
      <c r="CB126"/>
      <c r="CC126"/>
      <c r="CD126"/>
      <c r="CE126"/>
      <c r="CF126"/>
      <c r="CG126"/>
      <c r="CH126"/>
      <c r="CI126"/>
      <c r="CJ126"/>
      <c r="CK126"/>
      <c r="CL126"/>
      <c r="CM126"/>
      <c r="CN126"/>
      <c r="CO126"/>
      <c r="CP126"/>
      <c r="CQ126" s="1406"/>
      <c r="CR126" s="81"/>
      <c r="CS126" s="81"/>
      <c r="CT126" s="81"/>
      <c r="CU126" s="81"/>
      <c r="CV126" s="81"/>
      <c r="CW126" s="81"/>
      <c r="CX126" s="81"/>
      <c r="CY126" s="81"/>
      <c r="CZ126" s="81"/>
      <c r="DA126" s="81"/>
      <c r="DB126" s="81"/>
      <c r="DC126" s="81"/>
      <c r="DD126" s="81"/>
      <c r="DE126" s="1403"/>
      <c r="DF126" s="1405"/>
      <c r="DG126" s="1403"/>
      <c r="DH126" s="1404"/>
      <c r="DI126" s="1403"/>
      <c r="DJ126" s="86"/>
      <c r="DK126" s="86"/>
      <c r="DL126" s="86"/>
      <c r="DM126"/>
      <c r="DN126" s="769"/>
      <c r="DQ126" s="1401"/>
      <c r="DR126" s="1400"/>
    </row>
    <row r="127" spans="1:122" s="554" customFormat="1">
      <c r="A127" s="769"/>
      <c r="B127" s="1412"/>
      <c r="C127" s="769"/>
      <c r="D127" s="769"/>
      <c r="E127" s="769"/>
      <c r="F127" s="769"/>
      <c r="G127" s="769"/>
      <c r="H127" s="769"/>
      <c r="I127" s="769"/>
      <c r="J127" s="769"/>
      <c r="K127" s="769"/>
      <c r="L127" s="769"/>
      <c r="M127" s="769"/>
      <c r="N127" s="769"/>
      <c r="O127" s="769"/>
      <c r="P127" s="769"/>
      <c r="Q127" s="769"/>
      <c r="R127" s="769"/>
      <c r="S127" s="769"/>
      <c r="T127" s="769"/>
      <c r="U127" s="769"/>
      <c r="V127" s="769"/>
      <c r="W127" s="769"/>
      <c r="X127" s="769"/>
      <c r="Y127" s="769"/>
      <c r="Z127" s="769"/>
      <c r="AA127" s="769"/>
      <c r="AB127" s="769"/>
      <c r="AC127" s="769"/>
      <c r="AD127" s="769"/>
      <c r="AE127" s="769"/>
      <c r="AF127" s="769"/>
      <c r="AG127" s="769"/>
      <c r="AH127" s="1413"/>
      <c r="AI127" s="769"/>
      <c r="AJ127" s="769"/>
      <c r="AK127" s="769"/>
      <c r="AL127" s="769"/>
      <c r="AM127" s="769"/>
      <c r="AN127" s="769"/>
      <c r="AO127" s="769"/>
      <c r="AP127" s="769"/>
      <c r="AQ127" s="769"/>
      <c r="AR127" s="769"/>
      <c r="AS127" s="769"/>
      <c r="AT127" s="769"/>
      <c r="AU127" s="769"/>
      <c r="AV127" s="769"/>
      <c r="AW127" s="769"/>
      <c r="AX127" s="769"/>
      <c r="AY127" s="1582"/>
      <c r="AZ127" s="1583"/>
      <c r="BA127" s="769"/>
      <c r="BB127" s="769"/>
      <c r="BC127" s="769"/>
      <c r="BD127" s="769"/>
      <c r="BE127" s="769"/>
      <c r="BF127" s="769"/>
      <c r="BG127" s="769"/>
      <c r="BH127" s="769"/>
      <c r="BI127" s="769"/>
      <c r="BJ127" s="769"/>
      <c r="BK127" s="769"/>
      <c r="BL127" s="769"/>
      <c r="BM127" s="769"/>
      <c r="BN127" s="769"/>
      <c r="BO127" s="769"/>
      <c r="BP127" s="769"/>
      <c r="BQ127" s="769"/>
      <c r="BR127" s="769"/>
      <c r="BS127" s="769"/>
      <c r="BT127" s="769"/>
      <c r="BU127" s="769"/>
      <c r="BV127" s="769"/>
      <c r="BW127" s="769"/>
      <c r="BX127"/>
      <c r="BY127"/>
      <c r="BZ127"/>
      <c r="CA127"/>
      <c r="CB127"/>
      <c r="CC127"/>
      <c r="CD127"/>
      <c r="CE127"/>
      <c r="CF127"/>
      <c r="CG127"/>
      <c r="CH127"/>
      <c r="CI127"/>
      <c r="CJ127"/>
      <c r="CK127"/>
      <c r="CL127"/>
      <c r="CM127"/>
      <c r="CN127"/>
      <c r="CO127"/>
      <c r="CP127"/>
      <c r="CQ127" s="1406"/>
      <c r="CR127" s="81"/>
      <c r="CS127" s="81"/>
      <c r="CT127" s="81"/>
      <c r="CU127" s="81"/>
      <c r="CV127" s="81"/>
      <c r="CW127" s="81"/>
      <c r="CX127" s="81"/>
      <c r="CY127" s="81"/>
      <c r="CZ127" s="81"/>
      <c r="DA127" s="81"/>
      <c r="DB127" s="81"/>
      <c r="DC127" s="81"/>
      <c r="DD127" s="81"/>
      <c r="DE127" s="1403"/>
      <c r="DF127" s="1405"/>
      <c r="DG127" s="1403"/>
      <c r="DH127" s="1404"/>
      <c r="DI127" s="1403"/>
      <c r="DJ127" s="86"/>
      <c r="DK127" s="86"/>
      <c r="DL127" s="86"/>
      <c r="DM127"/>
      <c r="DN127" s="769"/>
      <c r="DQ127" s="1401"/>
      <c r="DR127" s="1400"/>
    </row>
    <row r="128" spans="1:122" s="554" customFormat="1">
      <c r="A128" s="769"/>
      <c r="B128" s="1412"/>
      <c r="C128" s="769"/>
      <c r="D128" s="769"/>
      <c r="E128" s="769"/>
      <c r="F128" s="769"/>
      <c r="G128" s="769"/>
      <c r="H128" s="769"/>
      <c r="I128" s="769"/>
      <c r="J128" s="769"/>
      <c r="K128" s="769"/>
      <c r="L128" s="769"/>
      <c r="M128" s="769"/>
      <c r="N128" s="769"/>
      <c r="O128" s="769"/>
      <c r="P128" s="769"/>
      <c r="Q128" s="769"/>
      <c r="R128" s="769"/>
      <c r="S128" s="769"/>
      <c r="T128" s="769"/>
      <c r="U128" s="769"/>
      <c r="V128" s="769"/>
      <c r="W128" s="769"/>
      <c r="X128" s="769"/>
      <c r="Y128" s="769"/>
      <c r="Z128" s="769"/>
      <c r="AA128" s="769"/>
      <c r="AB128" s="769"/>
      <c r="AC128" s="769"/>
      <c r="AD128" s="769"/>
      <c r="AE128" s="769"/>
      <c r="AF128" s="769"/>
      <c r="AG128" s="769"/>
      <c r="AH128" s="1413"/>
      <c r="AI128" s="769"/>
      <c r="AJ128" s="769"/>
      <c r="AK128" s="769"/>
      <c r="AL128" s="769"/>
      <c r="AM128" s="769"/>
      <c r="AN128" s="769"/>
      <c r="AO128" s="769"/>
      <c r="AP128" s="769"/>
      <c r="AQ128" s="769"/>
      <c r="AR128" s="769"/>
      <c r="AS128" s="769"/>
      <c r="AT128" s="769"/>
      <c r="AU128" s="769"/>
      <c r="AV128" s="769"/>
      <c r="AW128" s="769"/>
      <c r="AX128" s="769"/>
      <c r="AY128" s="1582"/>
      <c r="AZ128" s="1583"/>
      <c r="BA128" s="769"/>
      <c r="BB128" s="769"/>
      <c r="BC128" s="769"/>
      <c r="BD128" s="769"/>
      <c r="BE128" s="769"/>
      <c r="BF128" s="769"/>
      <c r="BG128" s="769"/>
      <c r="BH128" s="769"/>
      <c r="BI128" s="769"/>
      <c r="BJ128" s="769"/>
      <c r="BK128" s="769"/>
      <c r="BL128" s="769"/>
      <c r="BM128" s="769"/>
      <c r="BN128" s="769"/>
      <c r="BO128" s="769"/>
      <c r="BP128" s="769"/>
      <c r="BQ128" s="769"/>
      <c r="BR128" s="769"/>
      <c r="BS128" s="769"/>
      <c r="BT128" s="769"/>
      <c r="BU128" s="769"/>
      <c r="BV128" s="769"/>
      <c r="BW128" s="769"/>
      <c r="BX128"/>
      <c r="BY128"/>
      <c r="BZ128"/>
      <c r="CA128"/>
      <c r="CB128"/>
      <c r="CC128"/>
      <c r="CD128"/>
      <c r="CE128"/>
      <c r="CF128"/>
      <c r="CG128"/>
      <c r="CH128"/>
      <c r="CI128"/>
      <c r="CJ128"/>
      <c r="CK128"/>
      <c r="CL128"/>
      <c r="CM128"/>
      <c r="CN128"/>
      <c r="CO128"/>
      <c r="CP128"/>
      <c r="CQ128" s="1406"/>
      <c r="CR128" s="81"/>
      <c r="CS128" s="81"/>
      <c r="CT128" s="81"/>
      <c r="CU128" s="81"/>
      <c r="CV128" s="81"/>
      <c r="CW128" s="81"/>
      <c r="CX128" s="81"/>
      <c r="CY128" s="81"/>
      <c r="CZ128" s="81"/>
      <c r="DA128" s="81"/>
      <c r="DB128" s="81"/>
      <c r="DC128" s="81"/>
      <c r="DD128" s="81"/>
      <c r="DE128" s="1403"/>
      <c r="DF128" s="1405"/>
      <c r="DG128" s="1403"/>
      <c r="DH128" s="1404"/>
      <c r="DI128" s="1403"/>
      <c r="DJ128" s="86"/>
      <c r="DK128" s="86"/>
      <c r="DL128" s="86"/>
      <c r="DM128"/>
      <c r="DN128" s="769"/>
      <c r="DQ128" s="1401"/>
      <c r="DR128" s="1400"/>
    </row>
    <row r="129" spans="1:122" s="554" customFormat="1">
      <c r="A129" s="769"/>
      <c r="B129" s="1412"/>
      <c r="C129" s="769"/>
      <c r="D129" s="769"/>
      <c r="E129" s="769"/>
      <c r="F129" s="769"/>
      <c r="G129" s="769"/>
      <c r="H129" s="769"/>
      <c r="I129" s="769"/>
      <c r="J129" s="769"/>
      <c r="K129" s="769"/>
      <c r="L129" s="769"/>
      <c r="M129" s="769"/>
      <c r="N129" s="769"/>
      <c r="O129" s="769"/>
      <c r="P129" s="769"/>
      <c r="Q129" s="769"/>
      <c r="R129" s="769"/>
      <c r="S129" s="769"/>
      <c r="T129" s="769"/>
      <c r="U129" s="769"/>
      <c r="V129" s="769"/>
      <c r="W129" s="769"/>
      <c r="X129" s="769"/>
      <c r="Y129" s="769"/>
      <c r="Z129" s="769"/>
      <c r="AA129" s="769"/>
      <c r="AB129" s="769"/>
      <c r="AC129" s="769"/>
      <c r="AD129" s="769"/>
      <c r="AE129" s="769"/>
      <c r="AF129" s="769"/>
      <c r="AG129" s="769"/>
      <c r="AH129" s="1413"/>
      <c r="AI129" s="769"/>
      <c r="AJ129" s="769"/>
      <c r="AK129" s="769"/>
      <c r="AL129" s="769"/>
      <c r="AM129" s="769"/>
      <c r="AN129" s="769"/>
      <c r="AO129" s="769"/>
      <c r="AP129" s="769"/>
      <c r="AQ129" s="769"/>
      <c r="AR129" s="769"/>
      <c r="AS129" s="769"/>
      <c r="AT129" s="769"/>
      <c r="AU129" s="769"/>
      <c r="AV129" s="769"/>
      <c r="AW129" s="769"/>
      <c r="AX129" s="769"/>
      <c r="AY129" s="1582"/>
      <c r="AZ129" s="1583"/>
      <c r="BA129" s="769"/>
      <c r="BB129" s="769"/>
      <c r="BC129" s="769"/>
      <c r="BD129" s="769"/>
      <c r="BE129" s="769"/>
      <c r="BF129" s="769"/>
      <c r="BG129" s="769"/>
      <c r="BH129" s="769"/>
      <c r="BI129" s="769"/>
      <c r="BJ129" s="769"/>
      <c r="BK129" s="769"/>
      <c r="BL129" s="769"/>
      <c r="BM129" s="769"/>
      <c r="BN129" s="769"/>
      <c r="BO129" s="769"/>
      <c r="BP129" s="769"/>
      <c r="BQ129" s="769"/>
      <c r="BR129" s="769"/>
      <c r="BS129" s="769"/>
      <c r="BT129" s="769"/>
      <c r="BU129" s="769"/>
      <c r="BV129" s="769"/>
      <c r="BW129" s="769"/>
      <c r="BX129"/>
      <c r="BY129"/>
      <c r="BZ129"/>
      <c r="CA129"/>
      <c r="CB129"/>
      <c r="CC129"/>
      <c r="CD129"/>
      <c r="CE129"/>
      <c r="CF129"/>
      <c r="CG129"/>
      <c r="CH129"/>
      <c r="CI129"/>
      <c r="CJ129"/>
      <c r="CK129"/>
      <c r="CL129"/>
      <c r="CM129"/>
      <c r="CN129"/>
      <c r="CO129"/>
      <c r="CP129"/>
      <c r="CQ129" s="1406"/>
      <c r="CR129" s="81"/>
      <c r="CS129" s="81"/>
      <c r="CT129" s="81"/>
      <c r="CU129" s="81"/>
      <c r="CV129" s="81"/>
      <c r="CW129" s="81"/>
      <c r="CX129" s="81"/>
      <c r="CY129" s="81"/>
      <c r="CZ129" s="81"/>
      <c r="DA129" s="81"/>
      <c r="DB129" s="81"/>
      <c r="DC129" s="81"/>
      <c r="DD129" s="81"/>
      <c r="DE129" s="1403"/>
      <c r="DF129" s="1405"/>
      <c r="DG129" s="1403"/>
      <c r="DH129" s="1404"/>
      <c r="DI129" s="1403"/>
      <c r="DJ129" s="86"/>
      <c r="DK129" s="86"/>
      <c r="DL129" s="86"/>
      <c r="DM129"/>
      <c r="DN129" s="769"/>
      <c r="DQ129" s="1401"/>
      <c r="DR129" s="1400"/>
    </row>
    <row r="130" spans="1:122" s="554" customFormat="1">
      <c r="A130" s="769"/>
      <c r="B130" s="1412"/>
      <c r="C130" s="769"/>
      <c r="D130" s="769"/>
      <c r="E130" s="769"/>
      <c r="F130" s="769"/>
      <c r="G130" s="769"/>
      <c r="H130" s="769"/>
      <c r="I130" s="769"/>
      <c r="J130" s="769"/>
      <c r="K130" s="769"/>
      <c r="L130" s="769"/>
      <c r="M130" s="769"/>
      <c r="N130" s="769"/>
      <c r="O130" s="769"/>
      <c r="P130" s="769"/>
      <c r="Q130" s="769"/>
      <c r="R130" s="769"/>
      <c r="S130" s="769"/>
      <c r="T130" s="769"/>
      <c r="U130" s="769"/>
      <c r="V130" s="769"/>
      <c r="W130" s="769"/>
      <c r="X130" s="769"/>
      <c r="Y130" s="769"/>
      <c r="Z130" s="769"/>
      <c r="AA130" s="769"/>
      <c r="AB130" s="769"/>
      <c r="AC130" s="769"/>
      <c r="AD130" s="769"/>
      <c r="AE130" s="769"/>
      <c r="AF130" s="769"/>
      <c r="AG130" s="769"/>
      <c r="AH130" s="1413"/>
      <c r="AI130" s="769"/>
      <c r="AJ130" s="769"/>
      <c r="AK130" s="769"/>
      <c r="AL130" s="769"/>
      <c r="AM130" s="769"/>
      <c r="AN130" s="769"/>
      <c r="AO130" s="769"/>
      <c r="AP130" s="769"/>
      <c r="AQ130" s="769"/>
      <c r="AR130" s="769"/>
      <c r="AS130" s="769"/>
      <c r="AT130" s="769"/>
      <c r="AU130" s="769"/>
      <c r="AV130" s="769"/>
      <c r="AW130" s="769"/>
      <c r="AX130" s="769"/>
      <c r="AY130" s="1582"/>
      <c r="AZ130" s="1583"/>
      <c r="BA130" s="769"/>
      <c r="BB130" s="769"/>
      <c r="BC130" s="769"/>
      <c r="BD130" s="769"/>
      <c r="BE130" s="769"/>
      <c r="BF130" s="769"/>
      <c r="BG130" s="769"/>
      <c r="BH130" s="769"/>
      <c r="BI130" s="769"/>
      <c r="BJ130" s="769"/>
      <c r="BK130" s="769"/>
      <c r="BL130" s="769"/>
      <c r="BM130" s="769"/>
      <c r="BN130" s="769"/>
      <c r="BO130" s="769"/>
      <c r="BP130" s="769"/>
      <c r="BQ130" s="769"/>
      <c r="BR130" s="769"/>
      <c r="BS130" s="769"/>
      <c r="BT130" s="769"/>
      <c r="BU130" s="769"/>
      <c r="BV130" s="769"/>
      <c r="BW130" s="769"/>
      <c r="BX130"/>
      <c r="BY130"/>
      <c r="BZ130"/>
      <c r="CA130"/>
      <c r="CB130"/>
      <c r="CC130"/>
      <c r="CD130"/>
      <c r="CE130"/>
      <c r="CF130"/>
      <c r="CG130"/>
      <c r="CH130"/>
      <c r="CI130"/>
      <c r="CJ130"/>
      <c r="CK130"/>
      <c r="CL130"/>
      <c r="CM130"/>
      <c r="CN130"/>
      <c r="CO130"/>
      <c r="CP130"/>
      <c r="CQ130" s="1406"/>
      <c r="CR130" s="81"/>
      <c r="CS130" s="81"/>
      <c r="CT130" s="81"/>
      <c r="CU130" s="81"/>
      <c r="CV130" s="81"/>
      <c r="CW130" s="81"/>
      <c r="CX130" s="81"/>
      <c r="CY130" s="81"/>
      <c r="CZ130" s="81"/>
      <c r="DA130" s="81"/>
      <c r="DB130" s="81"/>
      <c r="DC130" s="81"/>
      <c r="DD130" s="81"/>
      <c r="DE130" s="1403"/>
      <c r="DF130" s="1405"/>
      <c r="DG130" s="1403"/>
      <c r="DH130" s="1404"/>
      <c r="DI130" s="1403"/>
      <c r="DJ130" s="86"/>
      <c r="DK130" s="86"/>
      <c r="DL130" s="86"/>
      <c r="DM130"/>
      <c r="DN130" s="769"/>
      <c r="DQ130" s="1401"/>
      <c r="DR130" s="1400"/>
    </row>
    <row r="131" spans="1:122" s="554" customFormat="1">
      <c r="A131" s="769"/>
      <c r="B131" s="1412"/>
      <c r="C131" s="769"/>
      <c r="D131" s="769"/>
      <c r="E131" s="769"/>
      <c r="F131" s="769"/>
      <c r="G131" s="769"/>
      <c r="H131" s="769"/>
      <c r="I131" s="769"/>
      <c r="J131" s="769"/>
      <c r="K131" s="769"/>
      <c r="L131" s="769"/>
      <c r="M131" s="769"/>
      <c r="N131" s="769"/>
      <c r="O131" s="769"/>
      <c r="P131" s="769"/>
      <c r="Q131" s="769"/>
      <c r="R131" s="769"/>
      <c r="S131" s="769"/>
      <c r="T131" s="769"/>
      <c r="U131" s="769"/>
      <c r="V131" s="769"/>
      <c r="W131" s="769"/>
      <c r="X131" s="769"/>
      <c r="Y131" s="769"/>
      <c r="Z131" s="769"/>
      <c r="AA131" s="769"/>
      <c r="AB131" s="769"/>
      <c r="AC131" s="769"/>
      <c r="AD131" s="769"/>
      <c r="AE131" s="769"/>
      <c r="AF131" s="769"/>
      <c r="AG131" s="769"/>
      <c r="AH131" s="1413"/>
      <c r="AI131" s="769"/>
      <c r="AJ131" s="769"/>
      <c r="AK131" s="769"/>
      <c r="AL131" s="769"/>
      <c r="AM131" s="769"/>
      <c r="AN131" s="769"/>
      <c r="AO131" s="769"/>
      <c r="AP131" s="769"/>
      <c r="AQ131" s="769"/>
      <c r="AR131" s="769"/>
      <c r="AS131" s="769"/>
      <c r="AT131" s="769"/>
      <c r="AU131" s="769"/>
      <c r="AV131" s="769"/>
      <c r="AW131" s="769"/>
      <c r="AX131" s="769"/>
      <c r="AY131" s="1582"/>
      <c r="AZ131" s="1583"/>
      <c r="BA131" s="769"/>
      <c r="BB131" s="769"/>
      <c r="BC131" s="769"/>
      <c r="BD131" s="769"/>
      <c r="BE131" s="769"/>
      <c r="BF131" s="769"/>
      <c r="BG131" s="769"/>
      <c r="BH131" s="769"/>
      <c r="BI131" s="769"/>
      <c r="BJ131" s="769"/>
      <c r="BK131" s="769"/>
      <c r="BL131" s="769"/>
      <c r="BM131" s="769"/>
      <c r="BN131" s="769"/>
      <c r="BO131" s="769"/>
      <c r="BP131" s="769"/>
      <c r="BQ131" s="769"/>
      <c r="BR131" s="769"/>
      <c r="BS131" s="769"/>
      <c r="BT131" s="769"/>
      <c r="BU131" s="769"/>
      <c r="BV131" s="769"/>
      <c r="BW131" s="769"/>
      <c r="BX131"/>
      <c r="BY131"/>
      <c r="BZ131"/>
      <c r="CA131"/>
      <c r="CB131"/>
      <c r="CC131"/>
      <c r="CD131"/>
      <c r="CE131"/>
      <c r="CF131"/>
      <c r="CG131"/>
      <c r="CH131"/>
      <c r="CI131"/>
      <c r="CJ131"/>
      <c r="CK131"/>
      <c r="CL131"/>
      <c r="CM131"/>
      <c r="CN131"/>
      <c r="CO131"/>
      <c r="CP131"/>
      <c r="CQ131" s="1406"/>
      <c r="CR131" s="81"/>
      <c r="CS131" s="81"/>
      <c r="CT131" s="81"/>
      <c r="CU131" s="81"/>
      <c r="CV131" s="81"/>
      <c r="CW131" s="81"/>
      <c r="CX131" s="81"/>
      <c r="CY131" s="81"/>
      <c r="CZ131" s="81"/>
      <c r="DA131" s="81"/>
      <c r="DB131" s="81"/>
      <c r="DC131" s="81"/>
      <c r="DD131" s="81"/>
      <c r="DE131" s="1403"/>
      <c r="DF131" s="1405"/>
      <c r="DG131" s="1403"/>
      <c r="DH131" s="1404"/>
      <c r="DI131" s="1403"/>
      <c r="DJ131" s="86"/>
      <c r="DK131" s="86"/>
      <c r="DL131" s="86"/>
      <c r="DM131"/>
      <c r="DN131" s="769"/>
      <c r="DQ131" s="1401"/>
      <c r="DR131" s="1400"/>
    </row>
    <row r="132" spans="1:122" s="554" customFormat="1">
      <c r="A132" s="769"/>
      <c r="B132" s="1412"/>
      <c r="C132" s="769"/>
      <c r="D132" s="769"/>
      <c r="E132" s="769"/>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1413"/>
      <c r="AI132" s="769"/>
      <c r="AJ132" s="769"/>
      <c r="AK132" s="769"/>
      <c r="AL132" s="769"/>
      <c r="AM132" s="769"/>
      <c r="AN132" s="769"/>
      <c r="AO132" s="769"/>
      <c r="AP132" s="769"/>
      <c r="AQ132" s="769"/>
      <c r="AR132" s="769"/>
      <c r="AS132" s="769"/>
      <c r="AT132" s="769"/>
      <c r="AU132" s="769"/>
      <c r="AV132" s="769"/>
      <c r="AW132" s="769"/>
      <c r="AX132" s="769"/>
      <c r="AY132" s="1582"/>
      <c r="AZ132" s="1583"/>
      <c r="BA132" s="769"/>
      <c r="BB132" s="769"/>
      <c r="BC132" s="769"/>
      <c r="BD132" s="769"/>
      <c r="BE132" s="769"/>
      <c r="BF132" s="769"/>
      <c r="BG132" s="769"/>
      <c r="BH132" s="769"/>
      <c r="BI132" s="769"/>
      <c r="BJ132" s="769"/>
      <c r="BK132" s="769"/>
      <c r="BL132" s="769"/>
      <c r="BM132" s="769"/>
      <c r="BN132" s="769"/>
      <c r="BO132" s="769"/>
      <c r="BP132" s="769"/>
      <c r="BQ132" s="769"/>
      <c r="BR132" s="769"/>
      <c r="BS132" s="769"/>
      <c r="BT132" s="769"/>
      <c r="BU132" s="769"/>
      <c r="BV132" s="769"/>
      <c r="BW132" s="769"/>
      <c r="BX132"/>
      <c r="BY132"/>
      <c r="BZ132"/>
      <c r="CA132"/>
      <c r="CB132"/>
      <c r="CC132"/>
      <c r="CD132"/>
      <c r="CE132"/>
      <c r="CF132"/>
      <c r="CG132"/>
      <c r="CH132"/>
      <c r="CI132"/>
      <c r="CJ132"/>
      <c r="CK132"/>
      <c r="CL132"/>
      <c r="CM132"/>
      <c r="CN132"/>
      <c r="CO132"/>
      <c r="CP132"/>
      <c r="CQ132" s="1406"/>
      <c r="CR132" s="81"/>
      <c r="CS132" s="81"/>
      <c r="CT132" s="81"/>
      <c r="CU132" s="81"/>
      <c r="CV132" s="81"/>
      <c r="CW132" s="81"/>
      <c r="CX132" s="81"/>
      <c r="CY132" s="81"/>
      <c r="CZ132" s="81"/>
      <c r="DA132" s="81"/>
      <c r="DB132" s="81"/>
      <c r="DC132" s="81"/>
      <c r="DD132" s="81"/>
      <c r="DE132" s="1403"/>
      <c r="DF132" s="1405"/>
      <c r="DG132" s="1403"/>
      <c r="DH132" s="1404"/>
      <c r="DI132" s="1403"/>
      <c r="DJ132" s="86"/>
      <c r="DK132" s="86"/>
      <c r="DL132" s="86"/>
      <c r="DM132"/>
      <c r="DN132" s="769"/>
      <c r="DQ132" s="1401"/>
      <c r="DR132" s="1400"/>
    </row>
    <row r="133" spans="1:122" s="554" customFormat="1">
      <c r="A133" s="769"/>
      <c r="B133" s="1412"/>
      <c r="C133" s="769"/>
      <c r="D133" s="769"/>
      <c r="E133" s="769"/>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1413"/>
      <c r="AI133" s="769"/>
      <c r="AJ133" s="769"/>
      <c r="AK133" s="769"/>
      <c r="AL133" s="769"/>
      <c r="AM133" s="769"/>
      <c r="AN133" s="769"/>
      <c r="AO133" s="769"/>
      <c r="AP133" s="769"/>
      <c r="AQ133" s="769"/>
      <c r="AR133" s="769"/>
      <c r="AS133" s="769"/>
      <c r="AT133" s="769"/>
      <c r="AU133" s="769"/>
      <c r="AV133" s="769"/>
      <c r="AW133" s="769"/>
      <c r="AX133" s="769"/>
      <c r="AY133" s="1582"/>
      <c r="AZ133" s="1583"/>
      <c r="BA133" s="769"/>
      <c r="BB133" s="769"/>
      <c r="BC133" s="769"/>
      <c r="BD133" s="769"/>
      <c r="BE133" s="769"/>
      <c r="BF133" s="769"/>
      <c r="BG133" s="769"/>
      <c r="BH133" s="769"/>
      <c r="BI133" s="769"/>
      <c r="BJ133" s="769"/>
      <c r="BK133" s="769"/>
      <c r="BL133" s="769"/>
      <c r="BM133" s="769"/>
      <c r="BN133" s="769"/>
      <c r="BO133" s="769"/>
      <c r="BP133" s="769"/>
      <c r="BQ133" s="769"/>
      <c r="BR133" s="769"/>
      <c r="BS133" s="769"/>
      <c r="BT133" s="769"/>
      <c r="BU133" s="769"/>
      <c r="BV133" s="769"/>
      <c r="BW133" s="769"/>
      <c r="BX133"/>
      <c r="BY133"/>
      <c r="BZ133"/>
      <c r="CA133"/>
      <c r="CB133"/>
      <c r="CC133"/>
      <c r="CD133"/>
      <c r="CE133"/>
      <c r="CF133"/>
      <c r="CG133"/>
      <c r="CH133"/>
      <c r="CI133"/>
      <c r="CJ133"/>
      <c r="CK133"/>
      <c r="CL133"/>
      <c r="CM133"/>
      <c r="CN133"/>
      <c r="CO133"/>
      <c r="CP133"/>
      <c r="CQ133" s="1406"/>
      <c r="CR133" s="81"/>
      <c r="CS133" s="81"/>
      <c r="CT133" s="81"/>
      <c r="CU133" s="81"/>
      <c r="CV133" s="81"/>
      <c r="CW133" s="81"/>
      <c r="CX133" s="81"/>
      <c r="CY133" s="81"/>
      <c r="CZ133" s="81"/>
      <c r="DA133" s="81"/>
      <c r="DB133" s="81"/>
      <c r="DC133" s="81"/>
      <c r="DD133" s="81"/>
      <c r="DE133" s="1403"/>
      <c r="DF133" s="1405"/>
      <c r="DG133" s="1403"/>
      <c r="DH133" s="1404"/>
      <c r="DI133" s="1403"/>
      <c r="DJ133" s="86"/>
      <c r="DK133" s="86"/>
      <c r="DL133" s="86"/>
      <c r="DM133"/>
      <c r="DN133" s="769"/>
      <c r="DQ133" s="1401"/>
      <c r="DR133" s="1400"/>
    </row>
    <row r="134" spans="1:122" s="554" customFormat="1">
      <c r="A134" s="769"/>
      <c r="B134" s="1412"/>
      <c r="C134" s="769"/>
      <c r="D134" s="769"/>
      <c r="E134" s="769"/>
      <c r="F134" s="769"/>
      <c r="G134" s="769"/>
      <c r="H134" s="769"/>
      <c r="I134" s="769"/>
      <c r="J134" s="769"/>
      <c r="K134" s="769"/>
      <c r="L134" s="769"/>
      <c r="M134" s="769"/>
      <c r="N134" s="769"/>
      <c r="O134" s="769"/>
      <c r="P134" s="769"/>
      <c r="Q134" s="769"/>
      <c r="R134" s="769"/>
      <c r="S134" s="769"/>
      <c r="T134" s="769"/>
      <c r="U134" s="769"/>
      <c r="V134" s="769"/>
      <c r="W134" s="769"/>
      <c r="X134" s="769"/>
      <c r="Y134" s="769"/>
      <c r="Z134" s="769"/>
      <c r="AA134" s="769"/>
      <c r="AB134" s="769"/>
      <c r="AC134" s="769"/>
      <c r="AD134" s="769"/>
      <c r="AE134" s="769"/>
      <c r="AF134" s="769"/>
      <c r="AG134" s="769"/>
      <c r="AH134" s="1413"/>
      <c r="AI134" s="769"/>
      <c r="AJ134" s="769"/>
      <c r="AK134" s="769"/>
      <c r="AL134" s="769"/>
      <c r="AM134" s="769"/>
      <c r="AN134" s="769"/>
      <c r="AO134" s="769"/>
      <c r="AP134" s="769"/>
      <c r="AQ134" s="769"/>
      <c r="AR134" s="769"/>
      <c r="AS134" s="769"/>
      <c r="AT134" s="769"/>
      <c r="AU134" s="769"/>
      <c r="AV134" s="769"/>
      <c r="AW134" s="769"/>
      <c r="AX134" s="769"/>
      <c r="AY134" s="1582"/>
      <c r="AZ134" s="1583"/>
      <c r="BA134" s="769"/>
      <c r="BB134" s="769"/>
      <c r="BC134" s="769"/>
      <c r="BD134" s="769"/>
      <c r="BE134" s="769"/>
      <c r="BF134" s="769"/>
      <c r="BG134" s="769"/>
      <c r="BH134" s="769"/>
      <c r="BI134" s="769"/>
      <c r="BJ134" s="769"/>
      <c r="BK134" s="769"/>
      <c r="BL134" s="769"/>
      <c r="BM134" s="769"/>
      <c r="BN134" s="769"/>
      <c r="BO134" s="769"/>
      <c r="BP134" s="769"/>
      <c r="BQ134" s="769"/>
      <c r="BR134" s="769"/>
      <c r="BS134" s="769"/>
      <c r="BT134" s="769"/>
      <c r="BU134" s="769"/>
      <c r="BV134" s="769"/>
      <c r="BW134" s="769"/>
      <c r="BX134"/>
      <c r="BY134"/>
      <c r="BZ134"/>
      <c r="CA134"/>
      <c r="CB134"/>
      <c r="CC134"/>
      <c r="CD134"/>
      <c r="CE134"/>
      <c r="CF134"/>
      <c r="CG134"/>
      <c r="CH134"/>
      <c r="CI134"/>
      <c r="CJ134"/>
      <c r="CK134"/>
      <c r="CL134"/>
      <c r="CM134"/>
      <c r="CN134"/>
      <c r="CO134"/>
      <c r="CP134"/>
      <c r="CQ134" s="1406"/>
      <c r="CR134" s="81"/>
      <c r="CS134" s="81"/>
      <c r="CT134" s="81"/>
      <c r="CU134" s="81"/>
      <c r="CV134" s="81"/>
      <c r="CW134" s="81"/>
      <c r="CX134" s="81"/>
      <c r="CY134" s="81"/>
      <c r="CZ134" s="81"/>
      <c r="DA134" s="81"/>
      <c r="DB134" s="81"/>
      <c r="DC134" s="81"/>
      <c r="DD134" s="81"/>
      <c r="DE134" s="1403"/>
      <c r="DF134" s="1405"/>
      <c r="DG134" s="1403"/>
      <c r="DH134" s="1404"/>
      <c r="DI134" s="1403"/>
      <c r="DJ134" s="86"/>
      <c r="DK134" s="86"/>
      <c r="DL134" s="86"/>
      <c r="DM134"/>
      <c r="DN134" s="769"/>
      <c r="DQ134" s="1401"/>
      <c r="DR134" s="1400"/>
    </row>
    <row r="135" spans="1:122" s="554" customFormat="1">
      <c r="A135" s="769"/>
      <c r="B135" s="1412"/>
      <c r="C135" s="769"/>
      <c r="D135" s="769"/>
      <c r="E135" s="769"/>
      <c r="F135" s="769"/>
      <c r="G135" s="769"/>
      <c r="H135" s="769"/>
      <c r="I135" s="769"/>
      <c r="J135" s="769"/>
      <c r="K135" s="769"/>
      <c r="L135" s="769"/>
      <c r="M135" s="769"/>
      <c r="N135" s="769"/>
      <c r="O135" s="769"/>
      <c r="P135" s="769"/>
      <c r="Q135" s="769"/>
      <c r="R135" s="769"/>
      <c r="S135" s="769"/>
      <c r="T135" s="769"/>
      <c r="U135" s="769"/>
      <c r="V135" s="769"/>
      <c r="W135" s="769"/>
      <c r="X135" s="769"/>
      <c r="Y135" s="769"/>
      <c r="Z135" s="769"/>
      <c r="AA135" s="769"/>
      <c r="AB135" s="769"/>
      <c r="AC135" s="769"/>
      <c r="AD135" s="769"/>
      <c r="AE135" s="769"/>
      <c r="AF135" s="769"/>
      <c r="AG135" s="769"/>
      <c r="AH135" s="1413"/>
      <c r="AI135" s="769"/>
      <c r="AJ135" s="769"/>
      <c r="AK135" s="769"/>
      <c r="AL135" s="769"/>
      <c r="AM135" s="769"/>
      <c r="AN135" s="769"/>
      <c r="AO135" s="769"/>
      <c r="AP135" s="769"/>
      <c r="AQ135" s="769"/>
      <c r="AR135" s="769"/>
      <c r="AS135" s="769"/>
      <c r="AT135" s="769"/>
      <c r="AU135" s="769"/>
      <c r="AV135" s="769"/>
      <c r="AW135" s="769"/>
      <c r="AX135" s="769"/>
      <c r="AY135" s="1582"/>
      <c r="AZ135" s="1583"/>
      <c r="BA135" s="769"/>
      <c r="BB135" s="769"/>
      <c r="BC135" s="769"/>
      <c r="BD135" s="769"/>
      <c r="BE135" s="769"/>
      <c r="BF135" s="769"/>
      <c r="BG135" s="769"/>
      <c r="BH135" s="769"/>
      <c r="BI135" s="769"/>
      <c r="BJ135" s="769"/>
      <c r="BK135" s="769"/>
      <c r="BL135" s="769"/>
      <c r="BM135" s="769"/>
      <c r="BN135" s="769"/>
      <c r="BO135" s="769"/>
      <c r="BP135" s="769"/>
      <c r="BQ135" s="769"/>
      <c r="BR135" s="769"/>
      <c r="BS135" s="769"/>
      <c r="BT135" s="769"/>
      <c r="BU135" s="769"/>
      <c r="BV135" s="769"/>
      <c r="BW135" s="769"/>
      <c r="BX135"/>
      <c r="BY135"/>
      <c r="BZ135"/>
      <c r="CA135"/>
      <c r="CB135"/>
      <c r="CC135"/>
      <c r="CD135"/>
      <c r="CE135"/>
      <c r="CF135"/>
      <c r="CG135"/>
      <c r="CH135"/>
      <c r="CI135"/>
      <c r="CJ135"/>
      <c r="CK135"/>
      <c r="CL135"/>
      <c r="CM135"/>
      <c r="CN135"/>
      <c r="CO135"/>
      <c r="CP135"/>
      <c r="CQ135" s="1406"/>
      <c r="CR135" s="81"/>
      <c r="CS135" s="81"/>
      <c r="CT135" s="81"/>
      <c r="CU135" s="81"/>
      <c r="CV135" s="81"/>
      <c r="CW135" s="81"/>
      <c r="CX135" s="81"/>
      <c r="CY135" s="81"/>
      <c r="CZ135" s="81"/>
      <c r="DA135" s="81"/>
      <c r="DB135" s="81"/>
      <c r="DC135" s="81"/>
      <c r="DD135" s="81"/>
      <c r="DE135" s="1403"/>
      <c r="DF135" s="1405"/>
      <c r="DG135" s="1403"/>
      <c r="DH135" s="1404"/>
      <c r="DI135" s="1403"/>
      <c r="DJ135" s="86"/>
      <c r="DK135" s="86"/>
      <c r="DL135" s="86"/>
      <c r="DM135"/>
      <c r="DN135" s="769"/>
      <c r="DQ135" s="1401"/>
      <c r="DR135" s="1400"/>
    </row>
    <row r="136" spans="1:122" s="554" customFormat="1">
      <c r="A136" s="769"/>
      <c r="B136" s="1412"/>
      <c r="C136" s="769"/>
      <c r="D136" s="769"/>
      <c r="E136" s="769"/>
      <c r="F136" s="769"/>
      <c r="G136" s="769"/>
      <c r="H136" s="769"/>
      <c r="I136" s="769"/>
      <c r="J136" s="769"/>
      <c r="K136" s="769"/>
      <c r="L136" s="769"/>
      <c r="M136" s="769"/>
      <c r="N136" s="769"/>
      <c r="O136" s="769"/>
      <c r="P136" s="769"/>
      <c r="Q136" s="769"/>
      <c r="R136" s="769"/>
      <c r="S136" s="769"/>
      <c r="T136" s="769"/>
      <c r="U136" s="769"/>
      <c r="V136" s="769"/>
      <c r="W136" s="769"/>
      <c r="X136" s="769"/>
      <c r="Y136" s="769"/>
      <c r="Z136" s="769"/>
      <c r="AA136" s="769"/>
      <c r="AB136" s="769"/>
      <c r="AC136" s="769"/>
      <c r="AD136" s="769"/>
      <c r="AE136" s="769"/>
      <c r="AF136" s="769"/>
      <c r="AG136" s="769"/>
      <c r="AH136" s="1413"/>
      <c r="AI136" s="769"/>
      <c r="AJ136" s="769"/>
      <c r="AK136" s="769"/>
      <c r="AL136" s="769"/>
      <c r="AM136" s="769"/>
      <c r="AN136" s="769"/>
      <c r="AO136" s="769"/>
      <c r="AP136" s="769"/>
      <c r="AQ136" s="769"/>
      <c r="AR136" s="769"/>
      <c r="AS136" s="769"/>
      <c r="AT136" s="769"/>
      <c r="AU136" s="769"/>
      <c r="AV136" s="769"/>
      <c r="AW136" s="769"/>
      <c r="AX136" s="769"/>
      <c r="AY136" s="1582"/>
      <c r="AZ136" s="1583"/>
      <c r="BA136" s="769"/>
      <c r="BB136" s="769"/>
      <c r="BC136" s="769"/>
      <c r="BD136" s="769"/>
      <c r="BE136" s="769"/>
      <c r="BF136" s="769"/>
      <c r="BG136" s="769"/>
      <c r="BH136" s="769"/>
      <c r="BI136" s="769"/>
      <c r="BJ136" s="769"/>
      <c r="BK136" s="769"/>
      <c r="BL136" s="769"/>
      <c r="BM136" s="769"/>
      <c r="BN136" s="769"/>
      <c r="BO136" s="769"/>
      <c r="BP136" s="769"/>
      <c r="BQ136" s="769"/>
      <c r="BR136" s="769"/>
      <c r="BS136" s="769"/>
      <c r="BT136" s="769"/>
      <c r="BU136" s="769"/>
      <c r="BV136" s="769"/>
      <c r="BW136" s="769"/>
      <c r="BX136"/>
      <c r="BY136"/>
      <c r="BZ136"/>
      <c r="CA136"/>
      <c r="CB136"/>
      <c r="CC136"/>
      <c r="CD136"/>
      <c r="CE136"/>
      <c r="CF136"/>
      <c r="CG136"/>
      <c r="CH136"/>
      <c r="CI136"/>
      <c r="CJ136"/>
      <c r="CK136"/>
      <c r="CL136"/>
      <c r="CM136"/>
      <c r="CN136"/>
      <c r="CO136"/>
      <c r="CP136"/>
      <c r="CQ136" s="1406"/>
      <c r="CR136" s="81"/>
      <c r="CS136" s="81"/>
      <c r="CT136" s="81"/>
      <c r="CU136" s="81"/>
      <c r="CV136" s="81"/>
      <c r="CW136" s="81"/>
      <c r="CX136" s="81"/>
      <c r="CY136" s="81"/>
      <c r="CZ136" s="81"/>
      <c r="DA136" s="81"/>
      <c r="DB136" s="81"/>
      <c r="DC136" s="81"/>
      <c r="DD136" s="81"/>
      <c r="DE136" s="1403"/>
      <c r="DF136" s="1405"/>
      <c r="DG136" s="1403"/>
      <c r="DH136" s="1404"/>
      <c r="DI136" s="1403"/>
      <c r="DJ136" s="86"/>
      <c r="DK136" s="86"/>
      <c r="DL136" s="86"/>
      <c r="DM136"/>
      <c r="DN136" s="769"/>
      <c r="DQ136" s="1401"/>
      <c r="DR136" s="1400"/>
    </row>
    <row r="137" spans="1:122" s="554" customFormat="1">
      <c r="A137" s="769"/>
      <c r="B137" s="1412"/>
      <c r="C137" s="769"/>
      <c r="D137" s="769"/>
      <c r="E137" s="769"/>
      <c r="F137" s="769"/>
      <c r="G137" s="769"/>
      <c r="H137" s="769"/>
      <c r="I137" s="769"/>
      <c r="J137" s="769"/>
      <c r="K137" s="769"/>
      <c r="L137" s="769"/>
      <c r="M137" s="769"/>
      <c r="N137" s="769"/>
      <c r="O137" s="769"/>
      <c r="P137" s="769"/>
      <c r="Q137" s="769"/>
      <c r="R137" s="769"/>
      <c r="S137" s="769"/>
      <c r="T137" s="769"/>
      <c r="U137" s="769"/>
      <c r="V137" s="769"/>
      <c r="W137" s="769"/>
      <c r="X137" s="769"/>
      <c r="Y137" s="769"/>
      <c r="Z137" s="769"/>
      <c r="AA137" s="769"/>
      <c r="AB137" s="769"/>
      <c r="AC137" s="769"/>
      <c r="AD137" s="769"/>
      <c r="AE137" s="769"/>
      <c r="AF137" s="769"/>
      <c r="AG137" s="769"/>
      <c r="AH137" s="1413"/>
      <c r="AI137" s="769"/>
      <c r="AJ137" s="769"/>
      <c r="AK137" s="769"/>
      <c r="AL137" s="769"/>
      <c r="AM137" s="769"/>
      <c r="AN137" s="769"/>
      <c r="AO137" s="769"/>
      <c r="AP137" s="769"/>
      <c r="AQ137" s="769"/>
      <c r="AR137" s="769"/>
      <c r="AS137" s="769"/>
      <c r="AT137" s="769"/>
      <c r="AU137" s="769"/>
      <c r="AV137" s="769"/>
      <c r="AW137" s="769"/>
      <c r="AX137" s="769"/>
      <c r="AY137" s="1582"/>
      <c r="AZ137" s="1583"/>
      <c r="BA137" s="769"/>
      <c r="BB137" s="769"/>
      <c r="BC137" s="769"/>
      <c r="BD137" s="769"/>
      <c r="BE137" s="769"/>
      <c r="BF137" s="769"/>
      <c r="BG137" s="769"/>
      <c r="BH137" s="769"/>
      <c r="BI137" s="769"/>
      <c r="BJ137" s="769"/>
      <c r="BK137" s="769"/>
      <c r="BL137" s="769"/>
      <c r="BM137" s="769"/>
      <c r="BN137" s="769"/>
      <c r="BO137" s="769"/>
      <c r="BP137" s="769"/>
      <c r="BQ137" s="769"/>
      <c r="BR137" s="769"/>
      <c r="BS137" s="769"/>
      <c r="BT137" s="769"/>
      <c r="BU137" s="769"/>
      <c r="BV137" s="769"/>
      <c r="BW137" s="769"/>
      <c r="BX137"/>
      <c r="BY137"/>
      <c r="BZ137"/>
      <c r="CA137"/>
      <c r="CB137"/>
      <c r="CC137"/>
      <c r="CD137"/>
      <c r="CE137"/>
      <c r="CF137"/>
      <c r="CG137"/>
      <c r="CH137"/>
      <c r="CI137"/>
      <c r="CJ137"/>
      <c r="CK137"/>
      <c r="CL137"/>
      <c r="CM137"/>
      <c r="CN137"/>
      <c r="CO137"/>
      <c r="CP137"/>
      <c r="CQ137" s="1406"/>
      <c r="CR137" s="81"/>
      <c r="CS137" s="81"/>
      <c r="CT137" s="81"/>
      <c r="CU137" s="81"/>
      <c r="CV137" s="81"/>
      <c r="CW137" s="81"/>
      <c r="CX137" s="81"/>
      <c r="CY137" s="81"/>
      <c r="CZ137" s="81"/>
      <c r="DA137" s="81"/>
      <c r="DB137" s="81"/>
      <c r="DC137" s="81"/>
      <c r="DD137" s="81"/>
      <c r="DE137" s="1403"/>
      <c r="DF137" s="1405"/>
      <c r="DG137" s="1403"/>
      <c r="DH137" s="1404"/>
      <c r="DI137" s="1403"/>
      <c r="DJ137" s="86"/>
      <c r="DK137" s="86"/>
      <c r="DL137" s="86"/>
      <c r="DM137"/>
      <c r="DN137" s="769"/>
      <c r="DQ137" s="1401"/>
      <c r="DR137" s="1400"/>
    </row>
    <row r="138" spans="1:122" s="554" customFormat="1">
      <c r="A138" s="769"/>
      <c r="B138" s="1412"/>
      <c r="C138" s="769"/>
      <c r="D138" s="769"/>
      <c r="E138" s="769"/>
      <c r="F138" s="769"/>
      <c r="G138" s="769"/>
      <c r="H138" s="769"/>
      <c r="I138" s="769"/>
      <c r="J138" s="769"/>
      <c r="K138" s="769"/>
      <c r="L138" s="769"/>
      <c r="M138" s="769"/>
      <c r="N138" s="769"/>
      <c r="O138" s="769"/>
      <c r="P138" s="769"/>
      <c r="Q138" s="769"/>
      <c r="R138" s="769"/>
      <c r="S138" s="769"/>
      <c r="T138" s="769"/>
      <c r="U138" s="769"/>
      <c r="V138" s="769"/>
      <c r="W138" s="769"/>
      <c r="X138" s="769"/>
      <c r="Y138" s="769"/>
      <c r="Z138" s="769"/>
      <c r="AA138" s="769"/>
      <c r="AB138" s="769"/>
      <c r="AC138" s="769"/>
      <c r="AD138" s="769"/>
      <c r="AE138" s="769"/>
      <c r="AF138" s="769"/>
      <c r="AG138" s="769"/>
      <c r="AH138" s="1413"/>
      <c r="AI138" s="769"/>
      <c r="AJ138" s="769"/>
      <c r="AK138" s="769"/>
      <c r="AL138" s="769"/>
      <c r="AM138" s="769"/>
      <c r="AN138" s="769"/>
      <c r="AO138" s="769"/>
      <c r="AP138" s="769"/>
      <c r="AQ138" s="769"/>
      <c r="AR138" s="769"/>
      <c r="AS138" s="769"/>
      <c r="AT138" s="769"/>
      <c r="AU138" s="769"/>
      <c r="AV138" s="769"/>
      <c r="AW138" s="769"/>
      <c r="AX138" s="769"/>
      <c r="AY138" s="1582"/>
      <c r="AZ138" s="1583"/>
      <c r="BA138" s="769"/>
      <c r="BB138" s="769"/>
      <c r="BC138" s="769"/>
      <c r="BD138" s="769"/>
      <c r="BE138" s="769"/>
      <c r="BF138" s="769"/>
      <c r="BG138" s="769"/>
      <c r="BH138" s="769"/>
      <c r="BI138" s="769"/>
      <c r="BJ138" s="769"/>
      <c r="BK138" s="769"/>
      <c r="BL138" s="769"/>
      <c r="BM138" s="769"/>
      <c r="BN138" s="769"/>
      <c r="BO138" s="769"/>
      <c r="BP138" s="769"/>
      <c r="BQ138" s="769"/>
      <c r="BR138" s="769"/>
      <c r="BS138" s="769"/>
      <c r="BT138" s="769"/>
      <c r="BU138" s="769"/>
      <c r="BV138" s="769"/>
      <c r="BW138" s="769"/>
      <c r="BX138"/>
      <c r="BY138"/>
      <c r="BZ138"/>
      <c r="CA138"/>
      <c r="CB138"/>
      <c r="CC138"/>
      <c r="CD138"/>
      <c r="CE138"/>
      <c r="CF138"/>
      <c r="CG138"/>
      <c r="CH138"/>
      <c r="CI138"/>
      <c r="CJ138"/>
      <c r="CK138"/>
      <c r="CL138"/>
      <c r="CM138"/>
      <c r="CN138"/>
      <c r="CO138"/>
      <c r="CP138"/>
      <c r="CQ138" s="1406"/>
      <c r="CR138" s="81"/>
      <c r="CS138" s="81"/>
      <c r="CT138" s="81"/>
      <c r="CU138" s="81"/>
      <c r="CV138" s="81"/>
      <c r="CW138" s="81"/>
      <c r="CX138" s="81"/>
      <c r="CY138" s="81"/>
      <c r="CZ138" s="81"/>
      <c r="DA138" s="81"/>
      <c r="DB138" s="81"/>
      <c r="DC138" s="81"/>
      <c r="DD138" s="81"/>
      <c r="DE138" s="1403"/>
      <c r="DF138" s="1405"/>
      <c r="DG138" s="1403"/>
      <c r="DH138" s="1404"/>
      <c r="DI138" s="1403"/>
      <c r="DJ138" s="86"/>
      <c r="DK138" s="86"/>
      <c r="DL138" s="86"/>
      <c r="DM138"/>
      <c r="DN138" s="769"/>
      <c r="DQ138" s="1401"/>
      <c r="DR138" s="1400"/>
    </row>
    <row r="139" spans="1:122" s="554" customFormat="1">
      <c r="A139" s="769"/>
      <c r="B139" s="1412"/>
      <c r="C139" s="769"/>
      <c r="D139" s="769"/>
      <c r="E139" s="769"/>
      <c r="F139" s="769"/>
      <c r="G139" s="769"/>
      <c r="H139" s="769"/>
      <c r="I139" s="769"/>
      <c r="J139" s="769"/>
      <c r="K139" s="769"/>
      <c r="L139" s="769"/>
      <c r="M139" s="769"/>
      <c r="N139" s="769"/>
      <c r="O139" s="769"/>
      <c r="P139" s="769"/>
      <c r="Q139" s="769"/>
      <c r="R139" s="769"/>
      <c r="S139" s="769"/>
      <c r="T139" s="769"/>
      <c r="U139" s="769"/>
      <c r="V139" s="769"/>
      <c r="W139" s="769"/>
      <c r="X139" s="769"/>
      <c r="Y139" s="769"/>
      <c r="Z139" s="769"/>
      <c r="AA139" s="769"/>
      <c r="AB139" s="769"/>
      <c r="AC139" s="769"/>
      <c r="AD139" s="769"/>
      <c r="AE139" s="769"/>
      <c r="AF139" s="769"/>
      <c r="AG139" s="769"/>
      <c r="AH139" s="1413"/>
      <c r="AI139" s="769"/>
      <c r="AJ139" s="769"/>
      <c r="AK139" s="769"/>
      <c r="AL139" s="769"/>
      <c r="AM139" s="769"/>
      <c r="AN139" s="769"/>
      <c r="AO139" s="769"/>
      <c r="AP139" s="769"/>
      <c r="AQ139" s="769"/>
      <c r="AR139" s="769"/>
      <c r="AS139" s="769"/>
      <c r="AT139" s="769"/>
      <c r="AU139" s="769"/>
      <c r="AV139" s="769"/>
      <c r="AW139" s="769"/>
      <c r="AX139" s="769"/>
      <c r="AY139" s="1582"/>
      <c r="AZ139" s="1583"/>
      <c r="BA139" s="769"/>
      <c r="BB139" s="769"/>
      <c r="BC139" s="769"/>
      <c r="BD139" s="769"/>
      <c r="BE139" s="769"/>
      <c r="BF139" s="769"/>
      <c r="BG139" s="769"/>
      <c r="BH139" s="769"/>
      <c r="BI139" s="769"/>
      <c r="BJ139" s="769"/>
      <c r="BK139" s="769"/>
      <c r="BL139" s="769"/>
      <c r="BM139" s="769"/>
      <c r="BN139" s="769"/>
      <c r="BO139" s="769"/>
      <c r="BP139" s="769"/>
      <c r="BQ139" s="769"/>
      <c r="BR139" s="769"/>
      <c r="BS139" s="769"/>
      <c r="BT139" s="769"/>
      <c r="BU139" s="769"/>
      <c r="BV139" s="769"/>
      <c r="BW139" s="769"/>
      <c r="BX139"/>
      <c r="BY139"/>
      <c r="BZ139"/>
      <c r="CA139"/>
      <c r="CB139"/>
      <c r="CC139"/>
      <c r="CD139"/>
      <c r="CE139"/>
      <c r="CF139"/>
      <c r="CG139"/>
      <c r="CH139"/>
      <c r="CI139"/>
      <c r="CJ139"/>
      <c r="CK139"/>
      <c r="CL139"/>
      <c r="CM139"/>
      <c r="CN139"/>
      <c r="CO139"/>
      <c r="CP139"/>
      <c r="CQ139" s="1406"/>
      <c r="CR139" s="81"/>
      <c r="CS139" s="81"/>
      <c r="CT139" s="81"/>
      <c r="CU139" s="81"/>
      <c r="CV139" s="81"/>
      <c r="CW139" s="81"/>
      <c r="CX139" s="81"/>
      <c r="CY139" s="81"/>
      <c r="CZ139" s="81"/>
      <c r="DA139" s="81"/>
      <c r="DB139" s="81"/>
      <c r="DC139" s="81"/>
      <c r="DD139" s="81"/>
      <c r="DE139" s="1403"/>
      <c r="DF139" s="1405"/>
      <c r="DG139" s="1403"/>
      <c r="DH139" s="1404"/>
      <c r="DI139" s="1403"/>
      <c r="DJ139" s="86"/>
      <c r="DK139" s="86"/>
      <c r="DL139" s="86"/>
      <c r="DM139"/>
      <c r="DN139" s="769"/>
      <c r="DQ139" s="1401"/>
      <c r="DR139" s="1400"/>
    </row>
    <row r="140" spans="1:122" s="554" customFormat="1">
      <c r="A140" s="769"/>
      <c r="B140" s="1412"/>
      <c r="C140" s="769"/>
      <c r="D140" s="769"/>
      <c r="E140" s="769"/>
      <c r="F140" s="769"/>
      <c r="G140" s="769"/>
      <c r="H140" s="769"/>
      <c r="I140" s="769"/>
      <c r="J140" s="769"/>
      <c r="K140" s="769"/>
      <c r="L140" s="769"/>
      <c r="M140" s="769"/>
      <c r="N140" s="769"/>
      <c r="O140" s="769"/>
      <c r="P140" s="769"/>
      <c r="Q140" s="769"/>
      <c r="R140" s="769"/>
      <c r="S140" s="769"/>
      <c r="T140" s="769"/>
      <c r="U140" s="769"/>
      <c r="V140" s="769"/>
      <c r="W140" s="769"/>
      <c r="X140" s="769"/>
      <c r="Y140" s="769"/>
      <c r="Z140" s="769"/>
      <c r="AA140" s="769"/>
      <c r="AB140" s="769"/>
      <c r="AC140" s="769"/>
      <c r="AD140" s="769"/>
      <c r="AE140" s="769"/>
      <c r="AF140" s="769"/>
      <c r="AG140" s="769"/>
      <c r="AH140" s="1413"/>
      <c r="AI140" s="769"/>
      <c r="AJ140" s="769"/>
      <c r="AK140" s="769"/>
      <c r="AL140" s="769"/>
      <c r="AM140" s="769"/>
      <c r="AN140" s="769"/>
      <c r="AO140" s="769"/>
      <c r="AP140" s="769"/>
      <c r="AQ140" s="769"/>
      <c r="AR140" s="769"/>
      <c r="AS140" s="769"/>
      <c r="AT140" s="769"/>
      <c r="AU140" s="769"/>
      <c r="AV140" s="769"/>
      <c r="AW140" s="769"/>
      <c r="AX140" s="769"/>
      <c r="AY140" s="1582"/>
      <c r="AZ140" s="1583"/>
      <c r="BA140" s="769"/>
      <c r="BB140" s="769"/>
      <c r="BC140" s="769"/>
      <c r="BD140" s="769"/>
      <c r="BE140" s="769"/>
      <c r="BF140" s="769"/>
      <c r="BG140" s="769"/>
      <c r="BH140" s="769"/>
      <c r="BI140" s="769"/>
      <c r="BJ140" s="769"/>
      <c r="BK140" s="769"/>
      <c r="BL140" s="769"/>
      <c r="BM140" s="769"/>
      <c r="BN140" s="769"/>
      <c r="BO140" s="769"/>
      <c r="BP140" s="769"/>
      <c r="BQ140" s="769"/>
      <c r="BR140" s="769"/>
      <c r="BS140" s="769"/>
      <c r="BT140" s="769"/>
      <c r="BU140" s="769"/>
      <c r="BV140" s="769"/>
      <c r="BW140" s="769"/>
      <c r="BX140"/>
      <c r="BY140"/>
      <c r="BZ140"/>
      <c r="CA140"/>
      <c r="CB140"/>
      <c r="CC140"/>
      <c r="CD140"/>
      <c r="CE140"/>
      <c r="CF140"/>
      <c r="CG140"/>
      <c r="CH140"/>
      <c r="CI140"/>
      <c r="CJ140"/>
      <c r="CK140"/>
      <c r="CL140"/>
      <c r="CM140"/>
      <c r="CN140"/>
      <c r="CO140"/>
      <c r="CP140"/>
      <c r="CQ140" s="1406"/>
      <c r="CR140" s="81"/>
      <c r="CS140" s="81"/>
      <c r="CT140" s="81"/>
      <c r="CU140" s="81"/>
      <c r="CV140" s="81"/>
      <c r="CW140" s="81"/>
      <c r="CX140" s="81"/>
      <c r="CY140" s="81"/>
      <c r="CZ140" s="81"/>
      <c r="DA140" s="81"/>
      <c r="DB140" s="81"/>
      <c r="DC140" s="81"/>
      <c r="DD140" s="81"/>
      <c r="DE140" s="1403"/>
      <c r="DF140" s="1405"/>
      <c r="DG140" s="1403"/>
      <c r="DH140" s="1404"/>
      <c r="DI140" s="1403"/>
      <c r="DJ140" s="86"/>
      <c r="DK140" s="86"/>
      <c r="DL140" s="86"/>
      <c r="DM140"/>
      <c r="DN140" s="769"/>
      <c r="DQ140" s="1401"/>
      <c r="DR140" s="1400"/>
    </row>
    <row r="141" spans="1:122" s="554" customFormat="1">
      <c r="A141" s="769"/>
      <c r="B141" s="1412"/>
      <c r="C141" s="769"/>
      <c r="D141" s="769"/>
      <c r="E141" s="769"/>
      <c r="F141" s="769"/>
      <c r="G141" s="769"/>
      <c r="H141" s="769"/>
      <c r="I141" s="769"/>
      <c r="J141" s="769"/>
      <c r="K141" s="769"/>
      <c r="L141" s="769"/>
      <c r="M141" s="769"/>
      <c r="N141" s="769"/>
      <c r="O141" s="769"/>
      <c r="P141" s="769"/>
      <c r="Q141" s="769"/>
      <c r="R141" s="769"/>
      <c r="S141" s="769"/>
      <c r="T141" s="769"/>
      <c r="U141" s="769"/>
      <c r="V141" s="769"/>
      <c r="W141" s="769"/>
      <c r="X141" s="769"/>
      <c r="Y141" s="769"/>
      <c r="Z141" s="769"/>
      <c r="AA141" s="769"/>
      <c r="AB141" s="769"/>
      <c r="AC141" s="769"/>
      <c r="AD141" s="769"/>
      <c r="AE141" s="769"/>
      <c r="AF141" s="769"/>
      <c r="AG141" s="769"/>
      <c r="AH141" s="1413"/>
      <c r="AI141" s="769"/>
      <c r="AJ141" s="769"/>
      <c r="AK141" s="769"/>
      <c r="AL141" s="769"/>
      <c r="AM141" s="769"/>
      <c r="AN141" s="769"/>
      <c r="AO141" s="769"/>
      <c r="AP141" s="769"/>
      <c r="AQ141" s="769"/>
      <c r="AR141" s="769"/>
      <c r="AS141" s="769"/>
      <c r="AT141" s="769"/>
      <c r="AU141" s="769"/>
      <c r="AV141" s="769"/>
      <c r="AW141" s="769"/>
      <c r="AX141" s="769"/>
      <c r="AY141" s="1582"/>
      <c r="AZ141" s="1583"/>
      <c r="BA141" s="769"/>
      <c r="BB141" s="769"/>
      <c r="BC141" s="769"/>
      <c r="BD141" s="769"/>
      <c r="BE141" s="769"/>
      <c r="BF141" s="769"/>
      <c r="BG141" s="769"/>
      <c r="BH141" s="769"/>
      <c r="BI141" s="769"/>
      <c r="BJ141" s="769"/>
      <c r="BK141" s="769"/>
      <c r="BL141" s="769"/>
      <c r="BM141" s="769"/>
      <c r="BN141" s="769"/>
      <c r="BO141" s="769"/>
      <c r="BP141" s="769"/>
      <c r="BQ141" s="769"/>
      <c r="BR141" s="769"/>
      <c r="BS141" s="769"/>
      <c r="BT141" s="769"/>
      <c r="BU141" s="769"/>
      <c r="BV141" s="769"/>
      <c r="BW141" s="769"/>
      <c r="BX141"/>
      <c r="BY141"/>
      <c r="BZ141"/>
      <c r="CA141"/>
      <c r="CB141"/>
      <c r="CC141"/>
      <c r="CD141"/>
      <c r="CE141"/>
      <c r="CF141"/>
      <c r="CG141"/>
      <c r="CH141"/>
      <c r="CI141"/>
      <c r="CJ141"/>
      <c r="CK141"/>
      <c r="CL141"/>
      <c r="CM141"/>
      <c r="CN141"/>
      <c r="CO141"/>
      <c r="CP141"/>
      <c r="CQ141" s="1406"/>
      <c r="CR141" s="81"/>
      <c r="CS141" s="81"/>
      <c r="CT141" s="81"/>
      <c r="CU141" s="81"/>
      <c r="CV141" s="81"/>
      <c r="CW141" s="81"/>
      <c r="CX141" s="81"/>
      <c r="CY141" s="81"/>
      <c r="CZ141" s="81"/>
      <c r="DA141" s="81"/>
      <c r="DB141" s="81"/>
      <c r="DC141" s="81"/>
      <c r="DD141" s="81"/>
      <c r="DE141" s="1403"/>
      <c r="DF141" s="1405"/>
      <c r="DG141" s="1403"/>
      <c r="DH141" s="1404"/>
      <c r="DI141" s="1403"/>
      <c r="DJ141" s="86"/>
      <c r="DK141" s="86"/>
      <c r="DL141" s="86"/>
      <c r="DM141"/>
      <c r="DN141" s="769"/>
      <c r="DQ141" s="1401"/>
      <c r="DR141" s="1400"/>
    </row>
    <row r="142" spans="1:122" s="554" customFormat="1">
      <c r="A142" s="769"/>
      <c r="B142" s="1412"/>
      <c r="C142" s="769"/>
      <c r="D142" s="769"/>
      <c r="E142" s="769"/>
      <c r="F142" s="769"/>
      <c r="G142" s="769"/>
      <c r="H142" s="769"/>
      <c r="I142" s="769"/>
      <c r="J142" s="769"/>
      <c r="K142" s="769"/>
      <c r="L142" s="769"/>
      <c r="M142" s="769"/>
      <c r="N142" s="769"/>
      <c r="O142" s="769"/>
      <c r="P142" s="769"/>
      <c r="Q142" s="769"/>
      <c r="R142" s="769"/>
      <c r="S142" s="769"/>
      <c r="T142" s="769"/>
      <c r="U142" s="769"/>
      <c r="V142" s="769"/>
      <c r="W142" s="769"/>
      <c r="X142" s="769"/>
      <c r="Y142" s="769"/>
      <c r="Z142" s="769"/>
      <c r="AA142" s="769"/>
      <c r="AB142" s="769"/>
      <c r="AC142" s="769"/>
      <c r="AD142" s="769"/>
      <c r="AE142" s="769"/>
      <c r="AF142" s="769"/>
      <c r="AG142" s="769"/>
      <c r="AH142" s="1413"/>
      <c r="AI142" s="769"/>
      <c r="AJ142" s="769"/>
      <c r="AK142" s="769"/>
      <c r="AL142" s="769"/>
      <c r="AM142" s="769"/>
      <c r="AN142" s="769"/>
      <c r="AO142" s="769"/>
      <c r="AP142" s="769"/>
      <c r="AQ142" s="769"/>
      <c r="AR142" s="769"/>
      <c r="AS142" s="769"/>
      <c r="AT142" s="769"/>
      <c r="AU142" s="769"/>
      <c r="AV142" s="769"/>
      <c r="AW142" s="769"/>
      <c r="AX142" s="769"/>
      <c r="AY142" s="1582"/>
      <c r="AZ142" s="1583"/>
      <c r="BA142" s="769"/>
      <c r="BB142" s="769"/>
      <c r="BC142" s="769"/>
      <c r="BD142" s="769"/>
      <c r="BE142" s="769"/>
      <c r="BF142" s="769"/>
      <c r="BG142" s="769"/>
      <c r="BH142" s="769"/>
      <c r="BI142" s="769"/>
      <c r="BJ142" s="769"/>
      <c r="BK142" s="769"/>
      <c r="BL142" s="769"/>
      <c r="BM142" s="769"/>
      <c r="BN142" s="769"/>
      <c r="BO142" s="769"/>
      <c r="BP142" s="769"/>
      <c r="BQ142" s="769"/>
      <c r="BR142" s="769"/>
      <c r="BS142" s="769"/>
      <c r="BT142" s="769"/>
      <c r="BU142" s="769"/>
      <c r="BV142" s="769"/>
      <c r="BW142" s="769"/>
      <c r="BX142"/>
      <c r="BY142"/>
      <c r="BZ142"/>
      <c r="CA142"/>
      <c r="CB142"/>
      <c r="CC142"/>
      <c r="CD142"/>
      <c r="CE142"/>
      <c r="CF142"/>
      <c r="CG142"/>
      <c r="CH142"/>
      <c r="CI142"/>
      <c r="CJ142"/>
      <c r="CK142"/>
      <c r="CL142"/>
      <c r="CM142"/>
      <c r="CN142"/>
      <c r="CO142"/>
      <c r="CP142"/>
      <c r="CQ142" s="1406"/>
      <c r="CR142" s="81"/>
      <c r="CS142" s="81"/>
      <c r="CT142" s="81"/>
      <c r="CU142" s="81"/>
      <c r="CV142" s="81"/>
      <c r="CW142" s="81"/>
      <c r="CX142" s="81"/>
      <c r="CY142" s="81"/>
      <c r="CZ142" s="81"/>
      <c r="DA142" s="81"/>
      <c r="DB142" s="81"/>
      <c r="DC142" s="81"/>
      <c r="DD142" s="81"/>
      <c r="DE142" s="1403"/>
      <c r="DF142" s="1405"/>
      <c r="DG142" s="1403"/>
      <c r="DH142" s="1404"/>
      <c r="DI142" s="1403"/>
      <c r="DJ142" s="86"/>
      <c r="DK142" s="86"/>
      <c r="DL142" s="86"/>
      <c r="DM142"/>
      <c r="DN142" s="769"/>
      <c r="DQ142" s="1401"/>
      <c r="DR142" s="1400"/>
    </row>
    <row r="143" spans="1:122" s="554" customFormat="1">
      <c r="A143" s="769"/>
      <c r="B143" s="1412"/>
      <c r="C143" s="769"/>
      <c r="D143" s="769"/>
      <c r="E143" s="769"/>
      <c r="F143" s="769"/>
      <c r="G143" s="769"/>
      <c r="H143" s="769"/>
      <c r="I143" s="769"/>
      <c r="J143" s="769"/>
      <c r="K143" s="769"/>
      <c r="L143" s="769"/>
      <c r="M143" s="769"/>
      <c r="N143" s="769"/>
      <c r="O143" s="769"/>
      <c r="P143" s="769"/>
      <c r="Q143" s="769"/>
      <c r="R143" s="769"/>
      <c r="S143" s="769"/>
      <c r="T143" s="769"/>
      <c r="U143" s="769"/>
      <c r="V143" s="769"/>
      <c r="W143" s="769"/>
      <c r="X143" s="769"/>
      <c r="Y143" s="769"/>
      <c r="Z143" s="769"/>
      <c r="AA143" s="769"/>
      <c r="AB143" s="769"/>
      <c r="AC143" s="769"/>
      <c r="AD143" s="769"/>
      <c r="AE143" s="769"/>
      <c r="AF143" s="769"/>
      <c r="AG143" s="769"/>
      <c r="AH143" s="1413"/>
      <c r="AI143" s="769"/>
      <c r="AJ143" s="769"/>
      <c r="AK143" s="769"/>
      <c r="AL143" s="769"/>
      <c r="AM143" s="769"/>
      <c r="AN143" s="769"/>
      <c r="AO143" s="769"/>
      <c r="AP143" s="769"/>
      <c r="AQ143" s="769"/>
      <c r="AR143" s="769"/>
      <c r="AS143" s="769"/>
      <c r="AT143" s="769"/>
      <c r="AU143" s="769"/>
      <c r="AV143" s="769"/>
      <c r="AW143" s="769"/>
      <c r="AX143" s="769"/>
      <c r="AY143" s="1582"/>
      <c r="AZ143" s="1583"/>
      <c r="BA143" s="769"/>
      <c r="BB143" s="769"/>
      <c r="BC143" s="769"/>
      <c r="BD143" s="769"/>
      <c r="BE143" s="769"/>
      <c r="BF143" s="769"/>
      <c r="BG143" s="769"/>
      <c r="BH143" s="769"/>
      <c r="BI143" s="769"/>
      <c r="BJ143" s="769"/>
      <c r="BK143" s="769"/>
      <c r="BL143" s="769"/>
      <c r="BM143" s="769"/>
      <c r="BN143" s="769"/>
      <c r="BO143" s="769"/>
      <c r="BP143" s="769"/>
      <c r="BQ143" s="769"/>
      <c r="BR143" s="769"/>
      <c r="BS143" s="769"/>
      <c r="BT143" s="769"/>
      <c r="BU143" s="769"/>
      <c r="BV143" s="769"/>
      <c r="BW143" s="769"/>
      <c r="BX143"/>
      <c r="BY143"/>
      <c r="BZ143"/>
      <c r="CA143"/>
      <c r="CB143"/>
      <c r="CC143"/>
      <c r="CD143"/>
      <c r="CE143"/>
      <c r="CF143"/>
      <c r="CG143"/>
      <c r="CH143"/>
      <c r="CI143"/>
      <c r="CJ143"/>
      <c r="CK143"/>
      <c r="CL143"/>
      <c r="CM143"/>
      <c r="CN143"/>
      <c r="CO143"/>
      <c r="CP143"/>
      <c r="CQ143" s="1406"/>
      <c r="CR143" s="81"/>
      <c r="CS143" s="81"/>
      <c r="CT143" s="81"/>
      <c r="CU143" s="81"/>
      <c r="CV143" s="81"/>
      <c r="CW143" s="81"/>
      <c r="CX143" s="81"/>
      <c r="CY143" s="81"/>
      <c r="CZ143" s="81"/>
      <c r="DA143" s="81"/>
      <c r="DB143" s="81"/>
      <c r="DC143" s="81"/>
      <c r="DD143" s="81"/>
      <c r="DE143" s="1403"/>
      <c r="DF143" s="1405"/>
      <c r="DG143" s="1403"/>
      <c r="DH143" s="1404"/>
      <c r="DI143" s="1403"/>
      <c r="DJ143" s="86"/>
      <c r="DK143" s="86"/>
      <c r="DL143" s="86"/>
      <c r="DM143"/>
      <c r="DN143" s="769"/>
      <c r="DQ143" s="1401"/>
      <c r="DR143" s="1400"/>
    </row>
    <row r="144" spans="1:122" s="554" customFormat="1">
      <c r="A144" s="769"/>
      <c r="B144" s="1412"/>
      <c r="C144" s="769"/>
      <c r="D144" s="769"/>
      <c r="E144" s="769"/>
      <c r="F144" s="769"/>
      <c r="G144" s="769"/>
      <c r="H144" s="769"/>
      <c r="I144" s="769"/>
      <c r="J144" s="769"/>
      <c r="K144" s="769"/>
      <c r="L144" s="769"/>
      <c r="M144" s="769"/>
      <c r="N144" s="769"/>
      <c r="O144" s="769"/>
      <c r="P144" s="769"/>
      <c r="Q144" s="769"/>
      <c r="R144" s="769"/>
      <c r="S144" s="769"/>
      <c r="T144" s="769"/>
      <c r="U144" s="769"/>
      <c r="V144" s="769"/>
      <c r="W144" s="769"/>
      <c r="X144" s="769"/>
      <c r="Y144" s="769"/>
      <c r="Z144" s="769"/>
      <c r="AA144" s="769"/>
      <c r="AB144" s="769"/>
      <c r="AC144" s="769"/>
      <c r="AD144" s="769"/>
      <c r="AE144" s="769"/>
      <c r="AF144" s="769"/>
      <c r="AG144" s="769"/>
      <c r="AH144" s="1413"/>
      <c r="AI144" s="769"/>
      <c r="AJ144" s="769"/>
      <c r="AK144" s="769"/>
      <c r="AL144" s="769"/>
      <c r="AM144" s="769"/>
      <c r="AN144" s="769"/>
      <c r="AO144" s="769"/>
      <c r="AP144" s="769"/>
      <c r="AQ144" s="769"/>
      <c r="AR144" s="769"/>
      <c r="AS144" s="769"/>
      <c r="AT144" s="769"/>
      <c r="AU144" s="769"/>
      <c r="AV144" s="769"/>
      <c r="AW144" s="769"/>
      <c r="AX144" s="769"/>
      <c r="AY144" s="1582"/>
      <c r="AZ144" s="1583"/>
      <c r="BA144" s="769"/>
      <c r="BB144" s="769"/>
      <c r="BC144" s="769"/>
      <c r="BD144" s="769"/>
      <c r="BE144" s="769"/>
      <c r="BF144" s="769"/>
      <c r="BG144" s="769"/>
      <c r="BH144" s="769"/>
      <c r="BI144" s="769"/>
      <c r="BJ144" s="769"/>
      <c r="BK144" s="769"/>
      <c r="BL144" s="769"/>
      <c r="BM144" s="769"/>
      <c r="BN144" s="769"/>
      <c r="BO144" s="769"/>
      <c r="BP144" s="769"/>
      <c r="BQ144" s="769"/>
      <c r="BR144" s="769"/>
      <c r="BS144" s="769"/>
      <c r="BT144" s="769"/>
      <c r="BU144" s="769"/>
      <c r="BV144" s="769"/>
      <c r="BW144" s="769"/>
      <c r="BX144"/>
      <c r="BY144"/>
      <c r="BZ144"/>
      <c r="CA144"/>
      <c r="CB144"/>
      <c r="CC144"/>
      <c r="CD144"/>
      <c r="CE144"/>
      <c r="CF144"/>
      <c r="CG144"/>
      <c r="CH144"/>
      <c r="CI144"/>
      <c r="CJ144"/>
      <c r="CK144"/>
      <c r="CL144"/>
      <c r="CM144"/>
      <c r="CN144"/>
      <c r="CO144"/>
      <c r="CP144"/>
      <c r="CQ144" s="1406"/>
      <c r="CR144" s="81"/>
      <c r="CS144" s="81"/>
      <c r="CT144" s="81"/>
      <c r="CU144" s="81"/>
      <c r="CV144" s="81"/>
      <c r="CW144" s="81"/>
      <c r="CX144" s="81"/>
      <c r="CY144" s="81"/>
      <c r="CZ144" s="81"/>
      <c r="DA144" s="81"/>
      <c r="DB144" s="81"/>
      <c r="DC144" s="81"/>
      <c r="DD144" s="81"/>
      <c r="DE144" s="1403"/>
      <c r="DF144" s="1405"/>
      <c r="DG144" s="1403"/>
      <c r="DH144" s="1404"/>
      <c r="DI144" s="1403"/>
      <c r="DJ144" s="86"/>
      <c r="DK144" s="86"/>
      <c r="DL144" s="86"/>
      <c r="DM144"/>
      <c r="DN144" s="769"/>
      <c r="DQ144" s="1401"/>
      <c r="DR144" s="1400"/>
    </row>
    <row r="145" spans="1:122" s="554" customFormat="1">
      <c r="A145" s="769"/>
      <c r="B145" s="1412"/>
      <c r="C145" s="769"/>
      <c r="D145" s="769"/>
      <c r="E145" s="769"/>
      <c r="F145" s="769"/>
      <c r="G145" s="769"/>
      <c r="H145" s="769"/>
      <c r="I145" s="769"/>
      <c r="J145" s="769"/>
      <c r="K145" s="769"/>
      <c r="L145" s="769"/>
      <c r="M145" s="769"/>
      <c r="N145" s="769"/>
      <c r="O145" s="769"/>
      <c r="P145" s="769"/>
      <c r="Q145" s="769"/>
      <c r="R145" s="769"/>
      <c r="S145" s="769"/>
      <c r="T145" s="769"/>
      <c r="U145" s="769"/>
      <c r="V145" s="769"/>
      <c r="W145" s="769"/>
      <c r="X145" s="769"/>
      <c r="Y145" s="769"/>
      <c r="Z145" s="769"/>
      <c r="AA145" s="769"/>
      <c r="AB145" s="769"/>
      <c r="AC145" s="769"/>
      <c r="AD145" s="769"/>
      <c r="AE145" s="769"/>
      <c r="AF145" s="769"/>
      <c r="AG145" s="769"/>
      <c r="AH145" s="1413"/>
      <c r="AI145" s="769"/>
      <c r="AJ145" s="769"/>
      <c r="AK145" s="769"/>
      <c r="AL145" s="769"/>
      <c r="AM145" s="769"/>
      <c r="AN145" s="769"/>
      <c r="AO145" s="769"/>
      <c r="AP145" s="769"/>
      <c r="AQ145" s="769"/>
      <c r="AR145" s="769"/>
      <c r="AS145" s="769"/>
      <c r="AT145" s="769"/>
      <c r="AU145" s="769"/>
      <c r="AV145" s="769"/>
      <c r="AW145" s="769"/>
      <c r="AX145" s="769"/>
      <c r="AY145" s="1582"/>
      <c r="AZ145" s="1583"/>
      <c r="BA145" s="769"/>
      <c r="BB145" s="769"/>
      <c r="BC145" s="769"/>
      <c r="BD145" s="769"/>
      <c r="BE145" s="769"/>
      <c r="BF145" s="769"/>
      <c r="BG145" s="769"/>
      <c r="BH145" s="769"/>
      <c r="BI145" s="769"/>
      <c r="BJ145" s="769"/>
      <c r="BK145" s="769"/>
      <c r="BL145" s="769"/>
      <c r="BM145" s="769"/>
      <c r="BN145" s="769"/>
      <c r="BO145" s="769"/>
      <c r="BP145" s="769"/>
      <c r="BQ145" s="769"/>
      <c r="BR145" s="769"/>
      <c r="BS145" s="769"/>
      <c r="BT145" s="769"/>
      <c r="BU145" s="769"/>
      <c r="BV145" s="769"/>
      <c r="BW145" s="769"/>
      <c r="BX145"/>
      <c r="BY145"/>
      <c r="BZ145"/>
      <c r="CA145"/>
      <c r="CB145"/>
      <c r="CC145"/>
      <c r="CD145"/>
      <c r="CE145"/>
      <c r="CF145"/>
      <c r="CG145"/>
      <c r="CH145"/>
      <c r="CI145"/>
      <c r="CJ145"/>
      <c r="CK145"/>
      <c r="CL145"/>
      <c r="CM145"/>
      <c r="CN145"/>
      <c r="CO145"/>
      <c r="CP145"/>
      <c r="CQ145" s="1406"/>
      <c r="CR145" s="81"/>
      <c r="CS145" s="81"/>
      <c r="CT145" s="81"/>
      <c r="CU145" s="81"/>
      <c r="CV145" s="81"/>
      <c r="CW145" s="81"/>
      <c r="CX145" s="81"/>
      <c r="CY145" s="81"/>
      <c r="CZ145" s="81"/>
      <c r="DA145" s="81"/>
      <c r="DB145" s="81"/>
      <c r="DC145" s="81"/>
      <c r="DD145" s="81"/>
      <c r="DE145" s="1403"/>
      <c r="DF145" s="1405"/>
      <c r="DG145" s="1403"/>
      <c r="DH145" s="1404"/>
      <c r="DI145" s="1403"/>
      <c r="DJ145" s="86"/>
      <c r="DK145" s="86"/>
      <c r="DL145" s="86"/>
      <c r="DM145"/>
      <c r="DN145" s="769"/>
      <c r="DQ145" s="1401"/>
      <c r="DR145" s="1400"/>
    </row>
    <row r="146" spans="1:122" s="554" customFormat="1">
      <c r="A146" s="769"/>
      <c r="B146" s="1412"/>
      <c r="C146" s="769"/>
      <c r="D146" s="769"/>
      <c r="E146" s="769"/>
      <c r="F146" s="769"/>
      <c r="G146" s="769"/>
      <c r="H146" s="769"/>
      <c r="I146" s="769"/>
      <c r="J146" s="769"/>
      <c r="K146" s="769"/>
      <c r="L146" s="769"/>
      <c r="M146" s="769"/>
      <c r="N146" s="769"/>
      <c r="O146" s="769"/>
      <c r="P146" s="769"/>
      <c r="Q146" s="769"/>
      <c r="R146" s="769"/>
      <c r="S146" s="769"/>
      <c r="T146" s="769"/>
      <c r="U146" s="769"/>
      <c r="V146" s="769"/>
      <c r="W146" s="769"/>
      <c r="X146" s="769"/>
      <c r="Y146" s="769"/>
      <c r="Z146" s="769"/>
      <c r="AA146" s="769"/>
      <c r="AB146" s="769"/>
      <c r="AC146" s="769"/>
      <c r="AD146" s="769"/>
      <c r="AE146" s="769"/>
      <c r="AF146" s="769"/>
      <c r="AG146" s="769"/>
      <c r="AH146" s="1413"/>
      <c r="AI146" s="769"/>
      <c r="AJ146" s="769"/>
      <c r="AK146" s="769"/>
      <c r="AL146" s="769"/>
      <c r="AM146" s="769"/>
      <c r="AN146" s="769"/>
      <c r="AO146" s="769"/>
      <c r="AP146" s="769"/>
      <c r="AQ146" s="769"/>
      <c r="AR146" s="769"/>
      <c r="AS146" s="769"/>
      <c r="AT146" s="769"/>
      <c r="AU146" s="769"/>
      <c r="AV146" s="769"/>
      <c r="AW146" s="769"/>
      <c r="AX146" s="769"/>
      <c r="AY146" s="1582"/>
      <c r="AZ146" s="1583"/>
      <c r="BA146" s="769"/>
      <c r="BB146" s="769"/>
      <c r="BC146" s="769"/>
      <c r="BD146" s="769"/>
      <c r="BE146" s="769"/>
      <c r="BF146" s="769"/>
      <c r="BG146" s="769"/>
      <c r="BH146" s="769"/>
      <c r="BI146" s="769"/>
      <c r="BJ146" s="769"/>
      <c r="BK146" s="769"/>
      <c r="BL146" s="769"/>
      <c r="BM146" s="769"/>
      <c r="BN146" s="769"/>
      <c r="BO146" s="769"/>
      <c r="BP146" s="769"/>
      <c r="BQ146" s="769"/>
      <c r="BR146" s="769"/>
      <c r="BS146" s="769"/>
      <c r="BT146" s="769"/>
      <c r="BU146" s="769"/>
      <c r="BV146" s="769"/>
      <c r="BW146" s="769"/>
      <c r="BX146"/>
      <c r="BY146"/>
      <c r="BZ146"/>
      <c r="CA146"/>
      <c r="CB146"/>
      <c r="CC146"/>
      <c r="CD146"/>
      <c r="CE146"/>
      <c r="CF146"/>
      <c r="CG146"/>
      <c r="CH146"/>
      <c r="CI146"/>
      <c r="CJ146"/>
      <c r="CK146"/>
      <c r="CL146"/>
      <c r="CM146"/>
      <c r="CN146"/>
      <c r="CO146"/>
      <c r="CP146"/>
      <c r="CQ146" s="1406"/>
      <c r="CR146" s="81"/>
      <c r="CS146" s="81"/>
      <c r="CT146" s="81"/>
      <c r="CU146" s="81"/>
      <c r="CV146" s="81"/>
      <c r="CW146" s="81"/>
      <c r="CX146" s="81"/>
      <c r="CY146" s="81"/>
      <c r="CZ146" s="81"/>
      <c r="DA146" s="81"/>
      <c r="DB146" s="81"/>
      <c r="DC146" s="81"/>
      <c r="DD146" s="81"/>
      <c r="DE146" s="1403"/>
      <c r="DF146" s="1405"/>
      <c r="DG146" s="1403"/>
      <c r="DH146" s="1404"/>
      <c r="DI146" s="1403"/>
      <c r="DJ146" s="86"/>
      <c r="DK146" s="86"/>
      <c r="DL146" s="86"/>
      <c r="DM146"/>
      <c r="DN146" s="769"/>
      <c r="DQ146" s="1401"/>
      <c r="DR146" s="1400"/>
    </row>
    <row r="147" spans="1:122" s="554" customFormat="1">
      <c r="A147" s="769"/>
      <c r="B147" s="1412"/>
      <c r="C147" s="769"/>
      <c r="D147" s="769"/>
      <c r="E147" s="769"/>
      <c r="F147" s="769"/>
      <c r="G147" s="769"/>
      <c r="H147" s="769"/>
      <c r="I147" s="769"/>
      <c r="J147" s="769"/>
      <c r="K147" s="769"/>
      <c r="L147" s="769"/>
      <c r="M147" s="769"/>
      <c r="N147" s="769"/>
      <c r="O147" s="769"/>
      <c r="P147" s="769"/>
      <c r="Q147" s="769"/>
      <c r="R147" s="769"/>
      <c r="S147" s="769"/>
      <c r="T147" s="769"/>
      <c r="U147" s="769"/>
      <c r="V147" s="769"/>
      <c r="W147" s="769"/>
      <c r="X147" s="769"/>
      <c r="Y147" s="769"/>
      <c r="Z147" s="769"/>
      <c r="AA147" s="769"/>
      <c r="AB147" s="769"/>
      <c r="AC147" s="769"/>
      <c r="AD147" s="769"/>
      <c r="AE147" s="769"/>
      <c r="AF147" s="769"/>
      <c r="AG147" s="769"/>
      <c r="AH147" s="1413"/>
      <c r="AI147" s="769"/>
      <c r="AJ147" s="769"/>
      <c r="AK147" s="769"/>
      <c r="AL147" s="769"/>
      <c r="AM147" s="769"/>
      <c r="AN147" s="769"/>
      <c r="AO147" s="769"/>
      <c r="AP147" s="769"/>
      <c r="AQ147" s="769"/>
      <c r="AR147" s="769"/>
      <c r="AS147" s="769"/>
      <c r="AT147" s="769"/>
      <c r="AU147" s="769"/>
      <c r="AV147" s="769"/>
      <c r="AW147" s="769"/>
      <c r="AX147" s="769"/>
      <c r="AY147" s="1582"/>
      <c r="AZ147" s="1583"/>
      <c r="BA147" s="769"/>
      <c r="BB147" s="769"/>
      <c r="BC147" s="769"/>
      <c r="BD147" s="769"/>
      <c r="BE147" s="769"/>
      <c r="BF147" s="769"/>
      <c r="BG147" s="769"/>
      <c r="BH147" s="769"/>
      <c r="BI147" s="769"/>
      <c r="BJ147" s="769"/>
      <c r="BK147" s="769"/>
      <c r="BL147" s="769"/>
      <c r="BM147" s="769"/>
      <c r="BN147" s="769"/>
      <c r="BO147" s="769"/>
      <c r="BP147" s="769"/>
      <c r="BQ147" s="769"/>
      <c r="BR147" s="769"/>
      <c r="BS147" s="769"/>
      <c r="BT147" s="769"/>
      <c r="BU147" s="769"/>
      <c r="BV147" s="769"/>
      <c r="BW147" s="769"/>
      <c r="BX147"/>
      <c r="BY147"/>
      <c r="BZ147"/>
      <c r="CA147"/>
      <c r="CB147"/>
      <c r="CC147"/>
      <c r="CD147"/>
      <c r="CE147"/>
      <c r="CF147"/>
      <c r="CG147"/>
      <c r="CH147"/>
      <c r="CI147"/>
      <c r="CJ147"/>
      <c r="CK147"/>
      <c r="CL147"/>
      <c r="CM147"/>
      <c r="CN147"/>
      <c r="CO147"/>
      <c r="CP147"/>
      <c r="CQ147" s="1406"/>
      <c r="CR147" s="81"/>
      <c r="CS147" s="81"/>
      <c r="CT147" s="81"/>
      <c r="CU147" s="81"/>
      <c r="CV147" s="81"/>
      <c r="CW147" s="81"/>
      <c r="CX147" s="81"/>
      <c r="CY147" s="81"/>
      <c r="CZ147" s="81"/>
      <c r="DA147" s="81"/>
      <c r="DB147" s="81"/>
      <c r="DC147" s="81"/>
      <c r="DD147" s="81"/>
      <c r="DE147" s="1403"/>
      <c r="DF147" s="1405"/>
      <c r="DG147" s="1403"/>
      <c r="DH147" s="1404"/>
      <c r="DI147" s="1403"/>
      <c r="DJ147" s="86"/>
      <c r="DK147" s="86"/>
      <c r="DL147" s="86"/>
      <c r="DM147"/>
      <c r="DN147" s="769"/>
      <c r="DQ147" s="1401"/>
      <c r="DR147" s="1400"/>
    </row>
    <row r="148" spans="1:122" s="554" customFormat="1">
      <c r="A148" s="769"/>
      <c r="B148" s="1412"/>
      <c r="C148" s="769"/>
      <c r="D148" s="769"/>
      <c r="E148" s="769"/>
      <c r="F148" s="769"/>
      <c r="G148" s="769"/>
      <c r="H148" s="769"/>
      <c r="I148" s="769"/>
      <c r="J148" s="769"/>
      <c r="K148" s="769"/>
      <c r="L148" s="769"/>
      <c r="M148" s="769"/>
      <c r="N148" s="769"/>
      <c r="O148" s="769"/>
      <c r="P148" s="769"/>
      <c r="Q148" s="769"/>
      <c r="R148" s="769"/>
      <c r="S148" s="769"/>
      <c r="T148" s="769"/>
      <c r="U148" s="769"/>
      <c r="V148" s="769"/>
      <c r="W148" s="769"/>
      <c r="X148" s="769"/>
      <c r="Y148" s="769"/>
      <c r="Z148" s="769"/>
      <c r="AA148" s="769"/>
      <c r="AB148" s="769"/>
      <c r="AC148" s="769"/>
      <c r="AD148" s="769"/>
      <c r="AE148" s="769"/>
      <c r="AF148" s="769"/>
      <c r="AG148" s="769"/>
      <c r="AH148" s="1413"/>
      <c r="AI148" s="769"/>
      <c r="AJ148" s="769"/>
      <c r="AK148" s="769"/>
      <c r="AL148" s="769"/>
      <c r="AM148" s="769"/>
      <c r="AN148" s="769"/>
      <c r="AO148" s="769"/>
      <c r="AP148" s="769"/>
      <c r="AQ148" s="769"/>
      <c r="AR148" s="769"/>
      <c r="AS148" s="769"/>
      <c r="AT148" s="769"/>
      <c r="AU148" s="769"/>
      <c r="AV148" s="769"/>
      <c r="AW148" s="769"/>
      <c r="AX148" s="769"/>
      <c r="AY148" s="1582"/>
      <c r="AZ148" s="1583"/>
      <c r="BA148" s="769"/>
      <c r="BB148" s="769"/>
      <c r="BC148" s="769"/>
      <c r="BD148" s="769"/>
      <c r="BE148" s="769"/>
      <c r="BF148" s="769"/>
      <c r="BG148" s="769"/>
      <c r="BH148" s="769"/>
      <c r="BI148" s="769"/>
      <c r="BJ148" s="769"/>
      <c r="BK148" s="769"/>
      <c r="BL148" s="769"/>
      <c r="BM148" s="769"/>
      <c r="BN148" s="769"/>
      <c r="BO148" s="769"/>
      <c r="BP148" s="769"/>
      <c r="BQ148" s="769"/>
      <c r="BR148" s="769"/>
      <c r="BS148" s="769"/>
      <c r="BT148" s="769"/>
      <c r="BU148" s="769"/>
      <c r="BV148" s="769"/>
      <c r="BW148" s="769"/>
      <c r="BX148"/>
      <c r="BY148"/>
      <c r="BZ148"/>
      <c r="CA148"/>
      <c r="CB148"/>
      <c r="CC148"/>
      <c r="CD148"/>
      <c r="CE148"/>
      <c r="CF148"/>
      <c r="CG148"/>
      <c r="CH148"/>
      <c r="CI148"/>
      <c r="CJ148"/>
      <c r="CK148"/>
      <c r="CL148"/>
      <c r="CM148"/>
      <c r="CN148"/>
      <c r="CO148"/>
      <c r="CP148"/>
      <c r="CQ148" s="1406"/>
      <c r="CR148" s="81"/>
      <c r="CS148" s="81"/>
      <c r="CT148" s="81"/>
      <c r="CU148" s="81"/>
      <c r="CV148" s="81"/>
      <c r="CW148" s="81"/>
      <c r="CX148" s="81"/>
      <c r="CY148" s="81"/>
      <c r="CZ148" s="81"/>
      <c r="DA148" s="81"/>
      <c r="DB148" s="81"/>
      <c r="DC148" s="81"/>
      <c r="DD148" s="81"/>
      <c r="DE148" s="1403"/>
      <c r="DF148" s="1405"/>
      <c r="DG148" s="1403"/>
      <c r="DH148" s="1404"/>
      <c r="DI148" s="1403"/>
      <c r="DJ148" s="86"/>
      <c r="DK148" s="86"/>
      <c r="DL148" s="86"/>
      <c r="DM148"/>
      <c r="DN148" s="769"/>
      <c r="DQ148" s="1401"/>
      <c r="DR148" s="1400"/>
    </row>
    <row r="149" spans="1:122" s="554" customFormat="1">
      <c r="A149" s="769"/>
      <c r="B149" s="1412"/>
      <c r="C149" s="769"/>
      <c r="D149" s="769"/>
      <c r="E149" s="769"/>
      <c r="F149" s="769"/>
      <c r="G149" s="769"/>
      <c r="H149" s="769"/>
      <c r="I149" s="769"/>
      <c r="J149" s="769"/>
      <c r="K149" s="769"/>
      <c r="L149" s="769"/>
      <c r="M149" s="769"/>
      <c r="N149" s="769"/>
      <c r="O149" s="769"/>
      <c r="P149" s="769"/>
      <c r="Q149" s="769"/>
      <c r="R149" s="769"/>
      <c r="S149" s="769"/>
      <c r="T149" s="769"/>
      <c r="U149" s="769"/>
      <c r="V149" s="769"/>
      <c r="W149" s="769"/>
      <c r="X149" s="769"/>
      <c r="Y149" s="769"/>
      <c r="Z149" s="769"/>
      <c r="AA149" s="769"/>
      <c r="AB149" s="769"/>
      <c r="AC149" s="769"/>
      <c r="AD149" s="769"/>
      <c r="AE149" s="769"/>
      <c r="AF149" s="769"/>
      <c r="AG149" s="769"/>
      <c r="AH149" s="1413"/>
      <c r="AI149" s="769"/>
      <c r="AJ149" s="769"/>
      <c r="AK149" s="769"/>
      <c r="AL149" s="769"/>
      <c r="AM149" s="769"/>
      <c r="AN149" s="769"/>
      <c r="AO149" s="769"/>
      <c r="AP149" s="769"/>
      <c r="AQ149" s="769"/>
      <c r="AR149" s="769"/>
      <c r="AS149" s="769"/>
      <c r="AT149" s="769"/>
      <c r="AU149" s="769"/>
      <c r="AV149" s="769"/>
      <c r="AW149" s="769"/>
      <c r="AX149" s="769"/>
      <c r="AY149" s="1582"/>
      <c r="AZ149" s="1583"/>
      <c r="BA149" s="769"/>
      <c r="BB149" s="769"/>
      <c r="BC149" s="769"/>
      <c r="BD149" s="769"/>
      <c r="BE149" s="769"/>
      <c r="BF149" s="769"/>
      <c r="BG149" s="769"/>
      <c r="BH149" s="769"/>
      <c r="BI149" s="769"/>
      <c r="BJ149" s="769"/>
      <c r="BK149" s="769"/>
      <c r="BL149" s="769"/>
      <c r="BM149" s="769"/>
      <c r="BN149" s="769"/>
      <c r="BO149" s="769"/>
      <c r="BP149" s="769"/>
      <c r="BQ149" s="769"/>
      <c r="BR149" s="769"/>
      <c r="BS149" s="769"/>
      <c r="BT149" s="769"/>
      <c r="BU149" s="769"/>
      <c r="BV149" s="769"/>
      <c r="BW149" s="769"/>
      <c r="BX149"/>
      <c r="BY149"/>
      <c r="BZ149"/>
      <c r="CA149"/>
      <c r="CB149"/>
      <c r="CC149"/>
      <c r="CD149"/>
      <c r="CE149"/>
      <c r="CF149"/>
      <c r="CG149"/>
      <c r="CH149"/>
      <c r="CI149"/>
      <c r="CJ149"/>
      <c r="CK149"/>
      <c r="CL149"/>
      <c r="CM149"/>
      <c r="CN149"/>
      <c r="CO149"/>
      <c r="CP149"/>
      <c r="CQ149" s="1406"/>
      <c r="CR149" s="81"/>
      <c r="CS149" s="81"/>
      <c r="CT149" s="81"/>
      <c r="CU149" s="81"/>
      <c r="CV149" s="81"/>
      <c r="CW149" s="81"/>
      <c r="CX149" s="81"/>
      <c r="CY149" s="81"/>
      <c r="CZ149" s="81"/>
      <c r="DA149" s="81"/>
      <c r="DB149" s="81"/>
      <c r="DC149" s="81"/>
      <c r="DD149" s="81"/>
      <c r="DE149" s="1403"/>
      <c r="DF149" s="1405"/>
      <c r="DG149" s="1403"/>
      <c r="DH149" s="1404"/>
      <c r="DI149" s="1403"/>
      <c r="DJ149" s="86"/>
      <c r="DK149" s="86"/>
      <c r="DL149" s="86"/>
      <c r="DM149"/>
      <c r="DN149" s="769"/>
      <c r="DQ149" s="1401"/>
      <c r="DR149" s="1400"/>
    </row>
    <row r="150" spans="1:122" s="554" customFormat="1">
      <c r="A150" s="769"/>
      <c r="B150" s="1412"/>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769"/>
      <c r="Z150" s="769"/>
      <c r="AA150" s="769"/>
      <c r="AB150" s="769"/>
      <c r="AC150" s="769"/>
      <c r="AD150" s="769"/>
      <c r="AE150" s="769"/>
      <c r="AF150" s="769"/>
      <c r="AG150" s="769"/>
      <c r="AH150" s="1413"/>
      <c r="AI150" s="769"/>
      <c r="AJ150" s="769"/>
      <c r="AK150" s="769"/>
      <c r="AL150" s="769"/>
      <c r="AM150" s="769"/>
      <c r="AN150" s="769"/>
      <c r="AO150" s="769"/>
      <c r="AP150" s="769"/>
      <c r="AQ150" s="769"/>
      <c r="AR150" s="769"/>
      <c r="AS150" s="769"/>
      <c r="AT150" s="769"/>
      <c r="AU150" s="769"/>
      <c r="AV150" s="769"/>
      <c r="AW150" s="769"/>
      <c r="AX150" s="769"/>
      <c r="AY150" s="1582"/>
      <c r="AZ150" s="1583"/>
      <c r="BA150" s="769"/>
      <c r="BB150" s="769"/>
      <c r="BC150" s="769"/>
      <c r="BD150" s="769"/>
      <c r="BE150" s="769"/>
      <c r="BF150" s="769"/>
      <c r="BG150" s="769"/>
      <c r="BH150" s="769"/>
      <c r="BI150" s="769"/>
      <c r="BJ150" s="769"/>
      <c r="BK150" s="769"/>
      <c r="BL150" s="769"/>
      <c r="BM150" s="769"/>
      <c r="BN150" s="769"/>
      <c r="BO150" s="769"/>
      <c r="BP150" s="769"/>
      <c r="BQ150" s="769"/>
      <c r="BR150" s="769"/>
      <c r="BS150" s="769"/>
      <c r="BT150" s="769"/>
      <c r="BU150" s="769"/>
      <c r="BV150" s="769"/>
      <c r="BW150" s="769"/>
      <c r="BX150"/>
      <c r="BY150"/>
      <c r="BZ150"/>
      <c r="CA150"/>
      <c r="CB150"/>
      <c r="CC150"/>
      <c r="CD150"/>
      <c r="CE150"/>
      <c r="CF150"/>
      <c r="CG150"/>
      <c r="CH150"/>
      <c r="CI150"/>
      <c r="CJ150"/>
      <c r="CK150"/>
      <c r="CL150"/>
      <c r="CM150"/>
      <c r="CN150"/>
      <c r="CO150"/>
      <c r="CP150"/>
      <c r="CQ150" s="1406"/>
      <c r="CR150" s="81"/>
      <c r="CS150" s="81"/>
      <c r="CT150" s="81"/>
      <c r="CU150" s="81"/>
      <c r="CV150" s="81"/>
      <c r="CW150" s="81"/>
      <c r="CX150" s="81"/>
      <c r="CY150" s="81"/>
      <c r="CZ150" s="81"/>
      <c r="DA150" s="81"/>
      <c r="DB150" s="81"/>
      <c r="DC150" s="81"/>
      <c r="DD150" s="81"/>
      <c r="DE150" s="1403"/>
      <c r="DF150" s="1405"/>
      <c r="DG150" s="1403"/>
      <c r="DH150" s="1404"/>
      <c r="DI150" s="1403"/>
      <c r="DJ150" s="86"/>
      <c r="DK150" s="86"/>
      <c r="DL150" s="86"/>
      <c r="DM150"/>
      <c r="DN150" s="769"/>
      <c r="DQ150" s="1401"/>
      <c r="DR150" s="1400"/>
    </row>
    <row r="151" spans="1:122" s="554" customFormat="1">
      <c r="A151" s="769"/>
      <c r="B151" s="1412"/>
      <c r="C151" s="769"/>
      <c r="D151" s="769"/>
      <c r="E151" s="769"/>
      <c r="F151" s="769"/>
      <c r="G151" s="769"/>
      <c r="H151" s="769"/>
      <c r="I151" s="769"/>
      <c r="J151" s="769"/>
      <c r="K151" s="769"/>
      <c r="L151" s="769"/>
      <c r="M151" s="769"/>
      <c r="N151" s="769"/>
      <c r="O151" s="769"/>
      <c r="P151" s="769"/>
      <c r="Q151" s="769"/>
      <c r="R151" s="769"/>
      <c r="S151" s="769"/>
      <c r="T151" s="769"/>
      <c r="U151" s="769"/>
      <c r="V151" s="769"/>
      <c r="W151" s="769"/>
      <c r="X151" s="769"/>
      <c r="Y151" s="769"/>
      <c r="Z151" s="769"/>
      <c r="AA151" s="769"/>
      <c r="AB151" s="769"/>
      <c r="AC151" s="769"/>
      <c r="AD151" s="769"/>
      <c r="AE151" s="769"/>
      <c r="AF151" s="769"/>
      <c r="AG151" s="769"/>
      <c r="AH151" s="1413"/>
      <c r="AI151" s="769"/>
      <c r="AJ151" s="769"/>
      <c r="AK151" s="769"/>
      <c r="AL151" s="769"/>
      <c r="AM151" s="769"/>
      <c r="AN151" s="769"/>
      <c r="AO151" s="769"/>
      <c r="AP151" s="769"/>
      <c r="AQ151" s="769"/>
      <c r="AR151" s="769"/>
      <c r="AS151" s="769"/>
      <c r="AT151" s="769"/>
      <c r="AU151" s="769"/>
      <c r="AV151" s="769"/>
      <c r="AW151" s="769"/>
      <c r="AX151" s="769"/>
      <c r="AY151" s="1582"/>
      <c r="AZ151" s="1583"/>
      <c r="BA151" s="769"/>
      <c r="BB151" s="769"/>
      <c r="BC151" s="769"/>
      <c r="BD151" s="769"/>
      <c r="BE151" s="769"/>
      <c r="BF151" s="769"/>
      <c r="BG151" s="769"/>
      <c r="BH151" s="769"/>
      <c r="BI151" s="769"/>
      <c r="BJ151" s="769"/>
      <c r="BK151" s="769"/>
      <c r="BL151" s="769"/>
      <c r="BM151" s="769"/>
      <c r="BN151" s="769"/>
      <c r="BO151" s="769"/>
      <c r="BP151" s="769"/>
      <c r="BQ151" s="769"/>
      <c r="BR151" s="769"/>
      <c r="BS151" s="769"/>
      <c r="BT151" s="769"/>
      <c r="BU151" s="769"/>
      <c r="BV151" s="769"/>
      <c r="BW151" s="769"/>
      <c r="BX151"/>
      <c r="BY151"/>
      <c r="BZ151"/>
      <c r="CA151"/>
      <c r="CB151"/>
      <c r="CC151"/>
      <c r="CD151"/>
      <c r="CE151"/>
      <c r="CF151"/>
      <c r="CG151"/>
      <c r="CH151"/>
      <c r="CI151"/>
      <c r="CJ151"/>
      <c r="CK151"/>
      <c r="CL151"/>
      <c r="CM151"/>
      <c r="CN151"/>
      <c r="CO151"/>
      <c r="CP151"/>
      <c r="CQ151" s="1406"/>
      <c r="CR151" s="81"/>
      <c r="CS151" s="81"/>
      <c r="CT151" s="81"/>
      <c r="CU151" s="81"/>
      <c r="CV151" s="81"/>
      <c r="CW151" s="81"/>
      <c r="CX151" s="81"/>
      <c r="CY151" s="81"/>
      <c r="CZ151" s="81"/>
      <c r="DA151" s="81"/>
      <c r="DB151" s="81"/>
      <c r="DC151" s="81"/>
      <c r="DD151" s="81"/>
      <c r="DE151" s="1403"/>
      <c r="DF151" s="1405"/>
      <c r="DG151" s="1403"/>
      <c r="DH151" s="1404"/>
      <c r="DI151" s="1403"/>
      <c r="DJ151" s="86"/>
      <c r="DK151" s="86"/>
      <c r="DL151" s="86"/>
      <c r="DM151"/>
      <c r="DN151" s="769"/>
      <c r="DQ151" s="1401"/>
      <c r="DR151" s="1400"/>
    </row>
    <row r="152" spans="1:122" s="554" customFormat="1">
      <c r="A152" s="769"/>
      <c r="B152" s="1412"/>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769"/>
      <c r="Z152" s="769"/>
      <c r="AA152" s="769"/>
      <c r="AB152" s="769"/>
      <c r="AC152" s="769"/>
      <c r="AD152" s="769"/>
      <c r="AE152" s="769"/>
      <c r="AF152" s="769"/>
      <c r="AG152" s="769"/>
      <c r="AH152" s="1413"/>
      <c r="AI152" s="769"/>
      <c r="AJ152" s="769"/>
      <c r="AK152" s="769"/>
      <c r="AL152" s="769"/>
      <c r="AM152" s="769"/>
      <c r="AN152" s="769"/>
      <c r="AO152" s="769"/>
      <c r="AP152" s="769"/>
      <c r="AQ152" s="769"/>
      <c r="AR152" s="769"/>
      <c r="AS152" s="769"/>
      <c r="AT152" s="769"/>
      <c r="AU152" s="769"/>
      <c r="AV152" s="769"/>
      <c r="AW152" s="769"/>
      <c r="AX152" s="769"/>
      <c r="AY152" s="1582"/>
      <c r="AZ152" s="1583"/>
      <c r="BA152" s="769"/>
      <c r="BB152" s="769"/>
      <c r="BC152" s="769"/>
      <c r="BD152" s="769"/>
      <c r="BE152" s="769"/>
      <c r="BF152" s="769"/>
      <c r="BG152" s="769"/>
      <c r="BH152" s="769"/>
      <c r="BI152" s="769"/>
      <c r="BJ152" s="769"/>
      <c r="BK152" s="769"/>
      <c r="BL152" s="769"/>
      <c r="BM152" s="769"/>
      <c r="BN152" s="769"/>
      <c r="BO152" s="769"/>
      <c r="BP152" s="769"/>
      <c r="BQ152" s="769"/>
      <c r="BR152" s="769"/>
      <c r="BS152" s="769"/>
      <c r="BT152" s="769"/>
      <c r="BU152" s="769"/>
      <c r="BV152" s="769"/>
      <c r="BW152" s="769"/>
      <c r="BX152"/>
      <c r="BY152"/>
      <c r="BZ152"/>
      <c r="CA152"/>
      <c r="CB152"/>
      <c r="CC152"/>
      <c r="CD152"/>
      <c r="CE152"/>
      <c r="CF152"/>
      <c r="CG152"/>
      <c r="CH152"/>
      <c r="CI152"/>
      <c r="CJ152"/>
      <c r="CK152"/>
      <c r="CL152"/>
      <c r="CM152"/>
      <c r="CN152"/>
      <c r="CO152"/>
      <c r="CP152"/>
      <c r="CQ152" s="1406"/>
      <c r="CR152" s="81"/>
      <c r="CS152" s="81"/>
      <c r="CT152" s="81"/>
      <c r="CU152" s="81"/>
      <c r="CV152" s="81"/>
      <c r="CW152" s="81"/>
      <c r="CX152" s="81"/>
      <c r="CY152" s="81"/>
      <c r="CZ152" s="81"/>
      <c r="DA152" s="81"/>
      <c r="DB152" s="81"/>
      <c r="DC152" s="81"/>
      <c r="DD152" s="81"/>
      <c r="DE152" s="1403"/>
      <c r="DF152" s="1405"/>
      <c r="DG152" s="1403"/>
      <c r="DH152" s="1404"/>
      <c r="DI152" s="1403"/>
      <c r="DJ152" s="86"/>
      <c r="DK152" s="86"/>
      <c r="DL152" s="86"/>
      <c r="DM152"/>
      <c r="DN152" s="769"/>
      <c r="DQ152" s="1401"/>
      <c r="DR152" s="1400"/>
    </row>
    <row r="153" spans="1:122" s="554" customFormat="1">
      <c r="A153" s="769"/>
      <c r="B153" s="1412"/>
      <c r="C153" s="769"/>
      <c r="D153" s="769"/>
      <c r="E153" s="769"/>
      <c r="F153" s="769"/>
      <c r="G153" s="769"/>
      <c r="H153" s="769"/>
      <c r="I153" s="769"/>
      <c r="J153" s="769"/>
      <c r="K153" s="769"/>
      <c r="L153" s="769"/>
      <c r="M153" s="769"/>
      <c r="N153" s="769"/>
      <c r="O153" s="769"/>
      <c r="P153" s="769"/>
      <c r="Q153" s="769"/>
      <c r="R153" s="769"/>
      <c r="S153" s="769"/>
      <c r="T153" s="769"/>
      <c r="U153" s="769"/>
      <c r="V153" s="769"/>
      <c r="W153" s="769"/>
      <c r="X153" s="769"/>
      <c r="Y153" s="769"/>
      <c r="Z153" s="769"/>
      <c r="AA153" s="769"/>
      <c r="AB153" s="769"/>
      <c r="AC153" s="769"/>
      <c r="AD153" s="769"/>
      <c r="AE153" s="769"/>
      <c r="AF153" s="769"/>
      <c r="AG153" s="769"/>
      <c r="AH153" s="1413"/>
      <c r="AI153" s="769"/>
      <c r="AJ153" s="769"/>
      <c r="AK153" s="769"/>
      <c r="AL153" s="769"/>
      <c r="AM153" s="769"/>
      <c r="AN153" s="769"/>
      <c r="AO153" s="769"/>
      <c r="AP153" s="769"/>
      <c r="AQ153" s="769"/>
      <c r="AR153" s="769"/>
      <c r="AS153" s="769"/>
      <c r="AT153" s="769"/>
      <c r="AU153" s="769"/>
      <c r="AV153" s="769"/>
      <c r="AW153" s="769"/>
      <c r="AX153" s="769"/>
      <c r="AY153" s="1582"/>
      <c r="AZ153" s="1583"/>
      <c r="BA153" s="769"/>
      <c r="BB153" s="769"/>
      <c r="BC153" s="769"/>
      <c r="BD153" s="769"/>
      <c r="BE153" s="769"/>
      <c r="BF153" s="769"/>
      <c r="BG153" s="769"/>
      <c r="BH153" s="769"/>
      <c r="BI153" s="769"/>
      <c r="BJ153" s="769"/>
      <c r="BK153" s="769"/>
      <c r="BL153" s="769"/>
      <c r="BM153" s="769"/>
      <c r="BN153" s="769"/>
      <c r="BO153" s="769"/>
      <c r="BP153" s="769"/>
      <c r="BQ153" s="769"/>
      <c r="BR153" s="769"/>
      <c r="BS153" s="769"/>
      <c r="BT153" s="769"/>
      <c r="BU153" s="769"/>
      <c r="BV153" s="769"/>
      <c r="BW153" s="769"/>
      <c r="BX153"/>
      <c r="BY153"/>
      <c r="BZ153"/>
      <c r="CA153"/>
      <c r="CB153"/>
      <c r="CC153"/>
      <c r="CD153"/>
      <c r="CE153"/>
      <c r="CF153"/>
      <c r="CG153"/>
      <c r="CH153"/>
      <c r="CI153"/>
      <c r="CJ153"/>
      <c r="CK153"/>
      <c r="CL153"/>
      <c r="CM153"/>
      <c r="CN153"/>
      <c r="CO153"/>
      <c r="CP153"/>
      <c r="CQ153" s="1406"/>
      <c r="CR153" s="81"/>
      <c r="CS153" s="81"/>
      <c r="CT153" s="81"/>
      <c r="CU153" s="81"/>
      <c r="CV153" s="81"/>
      <c r="CW153" s="81"/>
      <c r="CX153" s="81"/>
      <c r="CY153" s="81"/>
      <c r="CZ153" s="81"/>
      <c r="DA153" s="81"/>
      <c r="DB153" s="81"/>
      <c r="DC153" s="81"/>
      <c r="DD153" s="81"/>
      <c r="DE153" s="1403"/>
      <c r="DF153" s="1405"/>
      <c r="DG153" s="1403"/>
      <c r="DH153" s="1404"/>
      <c r="DI153" s="1403"/>
      <c r="DJ153" s="86"/>
      <c r="DK153" s="86"/>
      <c r="DL153" s="86"/>
      <c r="DM153"/>
      <c r="DN153" s="769"/>
      <c r="DQ153" s="1401"/>
      <c r="DR153" s="1400"/>
    </row>
    <row r="154" spans="1:122" s="554" customFormat="1">
      <c r="A154" s="769"/>
      <c r="B154" s="1412"/>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769"/>
      <c r="Z154" s="769"/>
      <c r="AA154" s="769"/>
      <c r="AB154" s="769"/>
      <c r="AC154" s="769"/>
      <c r="AD154" s="769"/>
      <c r="AE154" s="769"/>
      <c r="AF154" s="769"/>
      <c r="AG154" s="769"/>
      <c r="AH154" s="1413"/>
      <c r="AI154" s="769"/>
      <c r="AJ154" s="769"/>
      <c r="AK154" s="769"/>
      <c r="AL154" s="769"/>
      <c r="AM154" s="769"/>
      <c r="AN154" s="769"/>
      <c r="AO154" s="769"/>
      <c r="AP154" s="769"/>
      <c r="AQ154" s="769"/>
      <c r="AR154" s="769"/>
      <c r="AS154" s="769"/>
      <c r="AT154" s="769"/>
      <c r="AU154" s="769"/>
      <c r="AV154" s="769"/>
      <c r="AW154" s="769"/>
      <c r="AX154" s="769"/>
      <c r="AY154" s="1582"/>
      <c r="AZ154" s="1583"/>
      <c r="BA154" s="769"/>
      <c r="BB154" s="769"/>
      <c r="BC154" s="769"/>
      <c r="BD154" s="769"/>
      <c r="BE154" s="769"/>
      <c r="BF154" s="769"/>
      <c r="BG154" s="769"/>
      <c r="BH154" s="769"/>
      <c r="BI154" s="769"/>
      <c r="BJ154" s="769"/>
      <c r="BK154" s="769"/>
      <c r="BL154" s="769"/>
      <c r="BM154" s="769"/>
      <c r="BN154" s="769"/>
      <c r="BO154" s="769"/>
      <c r="BP154" s="769"/>
      <c r="BQ154" s="769"/>
      <c r="BR154" s="769"/>
      <c r="BS154" s="769"/>
      <c r="BT154" s="769"/>
      <c r="BU154" s="769"/>
      <c r="BV154" s="769"/>
      <c r="BW154" s="769"/>
      <c r="BX154"/>
      <c r="BY154"/>
      <c r="BZ154"/>
      <c r="CA154"/>
      <c r="CB154"/>
      <c r="CC154"/>
      <c r="CD154"/>
      <c r="CE154"/>
      <c r="CF154"/>
      <c r="CG154"/>
      <c r="CH154"/>
      <c r="CI154"/>
      <c r="CJ154"/>
      <c r="CK154"/>
      <c r="CL154"/>
      <c r="CM154"/>
      <c r="CN154"/>
      <c r="CO154"/>
      <c r="CP154"/>
      <c r="CQ154" s="1406"/>
      <c r="CR154" s="81"/>
      <c r="CS154" s="81"/>
      <c r="CT154" s="81"/>
      <c r="CU154" s="81"/>
      <c r="CV154" s="81"/>
      <c r="CW154" s="81"/>
      <c r="CX154" s="81"/>
      <c r="CY154" s="81"/>
      <c r="CZ154" s="81"/>
      <c r="DA154" s="81"/>
      <c r="DB154" s="81"/>
      <c r="DC154" s="81"/>
      <c r="DD154" s="81"/>
      <c r="DE154" s="1403"/>
      <c r="DF154" s="1405"/>
      <c r="DG154" s="1403"/>
      <c r="DH154" s="1404"/>
      <c r="DI154" s="1403"/>
      <c r="DJ154" s="86"/>
      <c r="DK154" s="86"/>
      <c r="DL154" s="86"/>
      <c r="DM154"/>
      <c r="DN154" s="769"/>
      <c r="DQ154" s="1401"/>
      <c r="DR154" s="1400"/>
    </row>
    <row r="155" spans="1:122" s="554" customFormat="1">
      <c r="A155" s="769"/>
      <c r="B155" s="1412"/>
      <c r="C155" s="769"/>
      <c r="D155" s="769"/>
      <c r="E155" s="769"/>
      <c r="F155" s="769"/>
      <c r="G155" s="769"/>
      <c r="H155" s="769"/>
      <c r="I155" s="769"/>
      <c r="J155" s="769"/>
      <c r="K155" s="769"/>
      <c r="L155" s="769"/>
      <c r="M155" s="769"/>
      <c r="N155" s="769"/>
      <c r="O155" s="769"/>
      <c r="P155" s="769"/>
      <c r="Q155" s="769"/>
      <c r="R155" s="769"/>
      <c r="S155" s="769"/>
      <c r="T155" s="769"/>
      <c r="U155" s="769"/>
      <c r="V155" s="769"/>
      <c r="W155" s="769"/>
      <c r="X155" s="769"/>
      <c r="Y155" s="769"/>
      <c r="Z155" s="769"/>
      <c r="AA155" s="769"/>
      <c r="AB155" s="769"/>
      <c r="AC155" s="769"/>
      <c r="AD155" s="769"/>
      <c r="AE155" s="769"/>
      <c r="AF155" s="769"/>
      <c r="AG155" s="769"/>
      <c r="AH155" s="1413"/>
      <c r="AI155" s="769"/>
      <c r="AJ155" s="769"/>
      <c r="AK155" s="769"/>
      <c r="AL155" s="769"/>
      <c r="AM155" s="769"/>
      <c r="AN155" s="769"/>
      <c r="AO155" s="769"/>
      <c r="AP155" s="769"/>
      <c r="AQ155" s="769"/>
      <c r="AR155" s="769"/>
      <c r="AS155" s="769"/>
      <c r="AT155" s="769"/>
      <c r="AU155" s="769"/>
      <c r="AV155" s="769"/>
      <c r="AW155" s="769"/>
      <c r="AX155" s="769"/>
      <c r="AY155" s="1582"/>
      <c r="AZ155" s="1583"/>
      <c r="BA155" s="769"/>
      <c r="BB155" s="769"/>
      <c r="BC155" s="769"/>
      <c r="BD155" s="769"/>
      <c r="BE155" s="769"/>
      <c r="BF155" s="769"/>
      <c r="BG155" s="769"/>
      <c r="BH155" s="769"/>
      <c r="BI155" s="769"/>
      <c r="BJ155" s="769"/>
      <c r="BK155" s="769"/>
      <c r="BL155" s="769"/>
      <c r="BM155" s="769"/>
      <c r="BN155" s="769"/>
      <c r="BO155" s="769"/>
      <c r="BP155" s="769"/>
      <c r="BQ155" s="769"/>
      <c r="BR155" s="769"/>
      <c r="BS155" s="769"/>
      <c r="BT155" s="769"/>
      <c r="BU155" s="769"/>
      <c r="BV155" s="769"/>
      <c r="BW155" s="769"/>
      <c r="BX155"/>
      <c r="BY155"/>
      <c r="BZ155"/>
      <c r="CA155"/>
      <c r="CB155"/>
      <c r="CC155"/>
      <c r="CD155"/>
      <c r="CE155"/>
      <c r="CF155"/>
      <c r="CG155"/>
      <c r="CH155"/>
      <c r="CI155"/>
      <c r="CJ155"/>
      <c r="CK155"/>
      <c r="CL155"/>
      <c r="CM155"/>
      <c r="CN155"/>
      <c r="CO155"/>
      <c r="CP155"/>
      <c r="CQ155" s="1406"/>
      <c r="CR155" s="81"/>
      <c r="CS155" s="81"/>
      <c r="CT155" s="81"/>
      <c r="CU155" s="81"/>
      <c r="CV155" s="81"/>
      <c r="CW155" s="81"/>
      <c r="CX155" s="81"/>
      <c r="CY155" s="81"/>
      <c r="CZ155" s="81"/>
      <c r="DA155" s="81"/>
      <c r="DB155" s="81"/>
      <c r="DC155" s="81"/>
      <c r="DD155" s="81"/>
      <c r="DE155" s="1403"/>
      <c r="DF155" s="1405"/>
      <c r="DG155" s="1403"/>
      <c r="DH155" s="1404"/>
      <c r="DI155" s="1403"/>
      <c r="DJ155" s="86"/>
      <c r="DK155" s="86"/>
      <c r="DL155" s="86"/>
      <c r="DM155"/>
      <c r="DN155" s="769"/>
      <c r="DQ155" s="1401"/>
      <c r="DR155" s="1400"/>
    </row>
    <row r="156" spans="1:122" s="554" customFormat="1">
      <c r="A156" s="769"/>
      <c r="B156" s="1412"/>
      <c r="C156" s="769"/>
      <c r="D156" s="769"/>
      <c r="E156" s="769"/>
      <c r="F156" s="769"/>
      <c r="G156" s="769"/>
      <c r="H156" s="769"/>
      <c r="I156" s="769"/>
      <c r="J156" s="769"/>
      <c r="K156" s="769"/>
      <c r="L156" s="769"/>
      <c r="M156" s="769"/>
      <c r="N156" s="769"/>
      <c r="O156" s="769"/>
      <c r="P156" s="769"/>
      <c r="Q156" s="769"/>
      <c r="R156" s="769"/>
      <c r="S156" s="769"/>
      <c r="T156" s="769"/>
      <c r="U156" s="769"/>
      <c r="V156" s="769"/>
      <c r="W156" s="769"/>
      <c r="X156" s="769"/>
      <c r="Y156" s="769"/>
      <c r="Z156" s="769"/>
      <c r="AA156" s="769"/>
      <c r="AB156" s="769"/>
      <c r="AC156" s="769"/>
      <c r="AD156" s="769"/>
      <c r="AE156" s="769"/>
      <c r="AF156" s="769"/>
      <c r="AG156" s="769"/>
      <c r="AH156" s="1413"/>
      <c r="AI156" s="769"/>
      <c r="AJ156" s="769"/>
      <c r="AK156" s="769"/>
      <c r="AL156" s="769"/>
      <c r="AM156" s="769"/>
      <c r="AN156" s="769"/>
      <c r="AO156" s="769"/>
      <c r="AP156" s="769"/>
      <c r="AQ156" s="769"/>
      <c r="AR156" s="769"/>
      <c r="AS156" s="769"/>
      <c r="AT156" s="769"/>
      <c r="AU156" s="769"/>
      <c r="AV156" s="769"/>
      <c r="AW156" s="769"/>
      <c r="AX156" s="769"/>
      <c r="AY156" s="1582"/>
      <c r="AZ156" s="1583"/>
      <c r="BA156" s="769"/>
      <c r="BB156" s="769"/>
      <c r="BC156" s="769"/>
      <c r="BD156" s="769"/>
      <c r="BE156" s="769"/>
      <c r="BF156" s="769"/>
      <c r="BG156" s="769"/>
      <c r="BH156" s="769"/>
      <c r="BI156" s="769"/>
      <c r="BJ156" s="769"/>
      <c r="BK156" s="769"/>
      <c r="BL156" s="769"/>
      <c r="BM156" s="769"/>
      <c r="BN156" s="769"/>
      <c r="BO156" s="769"/>
      <c r="BP156" s="769"/>
      <c r="BQ156" s="769"/>
      <c r="BR156" s="769"/>
      <c r="BS156" s="769"/>
      <c r="BT156" s="769"/>
      <c r="BU156" s="769"/>
      <c r="BV156" s="769"/>
      <c r="BW156" s="769"/>
      <c r="BX156"/>
      <c r="BY156"/>
      <c r="BZ156"/>
      <c r="CA156"/>
      <c r="CB156"/>
      <c r="CC156"/>
      <c r="CD156"/>
      <c r="CE156"/>
      <c r="CF156"/>
      <c r="CG156"/>
      <c r="CH156"/>
      <c r="CI156"/>
      <c r="CJ156"/>
      <c r="CK156"/>
      <c r="CL156"/>
      <c r="CM156"/>
      <c r="CN156"/>
      <c r="CO156"/>
      <c r="CP156"/>
      <c r="CQ156" s="1406"/>
      <c r="CR156" s="81"/>
      <c r="CS156" s="81"/>
      <c r="CT156" s="81"/>
      <c r="CU156" s="81"/>
      <c r="CV156" s="81"/>
      <c r="CW156" s="81"/>
      <c r="CX156" s="81"/>
      <c r="CY156" s="81"/>
      <c r="CZ156" s="81"/>
      <c r="DA156" s="81"/>
      <c r="DB156" s="81"/>
      <c r="DC156" s="81"/>
      <c r="DD156" s="81"/>
      <c r="DE156" s="1403"/>
      <c r="DF156" s="1405"/>
      <c r="DG156" s="1403"/>
      <c r="DH156" s="1404"/>
      <c r="DI156" s="1403"/>
      <c r="DJ156" s="86"/>
      <c r="DK156" s="86"/>
      <c r="DL156" s="86"/>
      <c r="DM156"/>
      <c r="DN156" s="769"/>
      <c r="DQ156" s="1401"/>
      <c r="DR156" s="1400"/>
    </row>
    <row r="157" spans="1:122" s="554" customFormat="1">
      <c r="A157" s="769"/>
      <c r="B157" s="1412"/>
      <c r="C157" s="769"/>
      <c r="D157" s="769"/>
      <c r="E157" s="769"/>
      <c r="F157" s="769"/>
      <c r="G157" s="769"/>
      <c r="H157" s="769"/>
      <c r="I157" s="769"/>
      <c r="J157" s="769"/>
      <c r="K157" s="769"/>
      <c r="L157" s="769"/>
      <c r="M157" s="769"/>
      <c r="N157" s="769"/>
      <c r="O157" s="769"/>
      <c r="P157" s="769"/>
      <c r="Q157" s="769"/>
      <c r="R157" s="769"/>
      <c r="S157" s="769"/>
      <c r="T157" s="769"/>
      <c r="U157" s="769"/>
      <c r="V157" s="769"/>
      <c r="W157" s="769"/>
      <c r="X157" s="769"/>
      <c r="Y157" s="769"/>
      <c r="Z157" s="769"/>
      <c r="AA157" s="769"/>
      <c r="AB157" s="769"/>
      <c r="AC157" s="769"/>
      <c r="AD157" s="769"/>
      <c r="AE157" s="769"/>
      <c r="AF157" s="769"/>
      <c r="AG157" s="769"/>
      <c r="AH157" s="1413"/>
      <c r="AI157" s="769"/>
      <c r="AJ157" s="769"/>
      <c r="AK157" s="769"/>
      <c r="AL157" s="769"/>
      <c r="AM157" s="769"/>
      <c r="AN157" s="769"/>
      <c r="AO157" s="769"/>
      <c r="AP157" s="769"/>
      <c r="AQ157" s="769"/>
      <c r="AR157" s="769"/>
      <c r="AS157" s="769"/>
      <c r="AT157" s="769"/>
      <c r="AU157" s="769"/>
      <c r="AV157" s="769"/>
      <c r="AW157" s="769"/>
      <c r="AX157" s="769"/>
      <c r="AY157" s="1582"/>
      <c r="AZ157" s="1583"/>
      <c r="BA157" s="769"/>
      <c r="BB157" s="769"/>
      <c r="BC157" s="769"/>
      <c r="BD157" s="769"/>
      <c r="BE157" s="769"/>
      <c r="BF157" s="769"/>
      <c r="BG157" s="769"/>
      <c r="BH157" s="769"/>
      <c r="BI157" s="769"/>
      <c r="BJ157" s="769"/>
      <c r="BK157" s="769"/>
      <c r="BL157" s="769"/>
      <c r="BM157" s="769"/>
      <c r="BN157" s="769"/>
      <c r="BO157" s="769"/>
      <c r="BP157" s="769"/>
      <c r="BQ157" s="769"/>
      <c r="BR157" s="769"/>
      <c r="BS157" s="769"/>
      <c r="BT157" s="769"/>
      <c r="BU157" s="769"/>
      <c r="BV157" s="769"/>
      <c r="BW157" s="769"/>
      <c r="BX157"/>
      <c r="BY157"/>
      <c r="BZ157"/>
      <c r="CA157"/>
      <c r="CB157"/>
      <c r="CC157"/>
      <c r="CD157"/>
      <c r="CE157"/>
      <c r="CF157"/>
      <c r="CG157"/>
      <c r="CH157"/>
      <c r="CI157"/>
      <c r="CJ157"/>
      <c r="CK157"/>
      <c r="CL157"/>
      <c r="CM157"/>
      <c r="CN157"/>
      <c r="CO157"/>
      <c r="CP157"/>
      <c r="CQ157" s="1406"/>
      <c r="CR157" s="81"/>
      <c r="CS157" s="81"/>
      <c r="CT157" s="81"/>
      <c r="CU157" s="81"/>
      <c r="CV157" s="81"/>
      <c r="CW157" s="81"/>
      <c r="CX157" s="81"/>
      <c r="CY157" s="81"/>
      <c r="CZ157" s="81"/>
      <c r="DA157" s="81"/>
      <c r="DB157" s="81"/>
      <c r="DC157" s="81"/>
      <c r="DD157" s="81"/>
      <c r="DE157" s="1403"/>
      <c r="DF157" s="1405"/>
      <c r="DG157" s="1403"/>
      <c r="DH157" s="1404"/>
      <c r="DI157" s="1403"/>
      <c r="DJ157" s="86"/>
      <c r="DK157" s="86"/>
      <c r="DL157" s="86"/>
      <c r="DM157"/>
      <c r="DN157" s="769"/>
      <c r="DQ157" s="1401"/>
      <c r="DR157" s="1400"/>
    </row>
    <row r="158" spans="1:122" s="554" customFormat="1">
      <c r="A158" s="769"/>
      <c r="B158" s="1412"/>
      <c r="C158" s="769"/>
      <c r="D158" s="769"/>
      <c r="E158" s="769"/>
      <c r="F158" s="769"/>
      <c r="G158" s="769"/>
      <c r="H158" s="769"/>
      <c r="I158" s="769"/>
      <c r="J158" s="769"/>
      <c r="K158" s="769"/>
      <c r="L158" s="769"/>
      <c r="M158" s="769"/>
      <c r="N158" s="769"/>
      <c r="O158" s="769"/>
      <c r="P158" s="769"/>
      <c r="Q158" s="769"/>
      <c r="R158" s="769"/>
      <c r="S158" s="769"/>
      <c r="T158" s="769"/>
      <c r="U158" s="769"/>
      <c r="V158" s="769"/>
      <c r="W158" s="769"/>
      <c r="X158" s="769"/>
      <c r="Y158" s="769"/>
      <c r="Z158" s="769"/>
      <c r="AA158" s="769"/>
      <c r="AB158" s="769"/>
      <c r="AC158" s="769"/>
      <c r="AD158" s="769"/>
      <c r="AE158" s="769"/>
      <c r="AF158" s="769"/>
      <c r="AG158" s="769"/>
      <c r="AH158" s="1413"/>
      <c r="AI158" s="769"/>
      <c r="AJ158" s="769"/>
      <c r="AK158" s="769"/>
      <c r="AL158" s="769"/>
      <c r="AM158" s="769"/>
      <c r="AN158" s="769"/>
      <c r="AO158" s="769"/>
      <c r="AP158" s="769"/>
      <c r="AQ158" s="769"/>
      <c r="AR158" s="769"/>
      <c r="AS158" s="769"/>
      <c r="AT158" s="769"/>
      <c r="AU158" s="769"/>
      <c r="AV158" s="769"/>
      <c r="AW158" s="769"/>
      <c r="AX158" s="769"/>
      <c r="AY158" s="1582"/>
      <c r="AZ158" s="1583"/>
      <c r="BA158" s="769"/>
      <c r="BB158" s="769"/>
      <c r="BC158" s="769"/>
      <c r="BD158" s="769"/>
      <c r="BE158" s="769"/>
      <c r="BF158" s="769"/>
      <c r="BG158" s="769"/>
      <c r="BH158" s="769"/>
      <c r="BI158" s="769"/>
      <c r="BJ158" s="769"/>
      <c r="BK158" s="769"/>
      <c r="BL158" s="769"/>
      <c r="BM158" s="769"/>
      <c r="BN158" s="769"/>
      <c r="BO158" s="769"/>
      <c r="BP158" s="769"/>
      <c r="BQ158" s="769"/>
      <c r="BR158" s="769"/>
      <c r="BS158" s="769"/>
      <c r="BT158" s="769"/>
      <c r="BU158" s="769"/>
      <c r="BV158" s="769"/>
      <c r="BW158" s="769"/>
      <c r="BX158"/>
      <c r="BY158"/>
      <c r="BZ158"/>
      <c r="CA158"/>
      <c r="CB158"/>
      <c r="CC158"/>
      <c r="CD158"/>
      <c r="CE158"/>
      <c r="CF158"/>
      <c r="CG158"/>
      <c r="CH158"/>
      <c r="CI158"/>
      <c r="CJ158"/>
      <c r="CK158"/>
      <c r="CL158"/>
      <c r="CM158"/>
      <c r="CN158"/>
      <c r="CO158"/>
      <c r="CP158"/>
      <c r="CQ158" s="1406"/>
      <c r="CR158" s="81"/>
      <c r="CS158" s="81"/>
      <c r="CT158" s="81"/>
      <c r="CU158" s="81"/>
      <c r="CV158" s="81"/>
      <c r="CW158" s="81"/>
      <c r="CX158" s="81"/>
      <c r="CY158" s="81"/>
      <c r="CZ158" s="81"/>
      <c r="DA158" s="81"/>
      <c r="DB158" s="81"/>
      <c r="DC158" s="81"/>
      <c r="DD158" s="81"/>
      <c r="DE158" s="1403"/>
      <c r="DF158" s="1405"/>
      <c r="DG158" s="1403"/>
      <c r="DH158" s="1404"/>
      <c r="DI158" s="1403"/>
      <c r="DJ158" s="86"/>
      <c r="DK158" s="86"/>
      <c r="DL158" s="86"/>
      <c r="DM158"/>
      <c r="DN158" s="769"/>
      <c r="DQ158" s="1401"/>
      <c r="DR158" s="1400"/>
    </row>
    <row r="159" spans="1:122" s="554" customFormat="1">
      <c r="A159" s="769"/>
      <c r="B159" s="1412"/>
      <c r="C159" s="769"/>
      <c r="D159" s="769"/>
      <c r="E159" s="769"/>
      <c r="F159" s="769"/>
      <c r="G159" s="769"/>
      <c r="H159" s="769"/>
      <c r="I159" s="769"/>
      <c r="J159" s="769"/>
      <c r="K159" s="769"/>
      <c r="L159" s="769"/>
      <c r="M159" s="769"/>
      <c r="N159" s="769"/>
      <c r="O159" s="769"/>
      <c r="P159" s="769"/>
      <c r="Q159" s="769"/>
      <c r="R159" s="769"/>
      <c r="S159" s="769"/>
      <c r="T159" s="769"/>
      <c r="U159" s="769"/>
      <c r="V159" s="769"/>
      <c r="W159" s="769"/>
      <c r="X159" s="769"/>
      <c r="Y159" s="769"/>
      <c r="Z159" s="769"/>
      <c r="AA159" s="769"/>
      <c r="AB159" s="769"/>
      <c r="AC159" s="769"/>
      <c r="AD159" s="769"/>
      <c r="AE159" s="769"/>
      <c r="AF159" s="769"/>
      <c r="AG159" s="769"/>
      <c r="AH159" s="1413"/>
      <c r="AI159" s="769"/>
      <c r="AJ159" s="769"/>
      <c r="AK159" s="769"/>
      <c r="AL159" s="769"/>
      <c r="AM159" s="769"/>
      <c r="AN159" s="769"/>
      <c r="AO159" s="769"/>
      <c r="AP159" s="769"/>
      <c r="AQ159" s="769"/>
      <c r="AR159" s="769"/>
      <c r="AS159" s="769"/>
      <c r="AT159" s="769"/>
      <c r="AU159" s="769"/>
      <c r="AV159" s="769"/>
      <c r="AW159" s="769"/>
      <c r="AX159" s="769"/>
      <c r="AY159" s="1582"/>
      <c r="AZ159" s="1583"/>
      <c r="BA159" s="769"/>
      <c r="BB159" s="769"/>
      <c r="BC159" s="769"/>
      <c r="BD159" s="769"/>
      <c r="BE159" s="769"/>
      <c r="BF159" s="769"/>
      <c r="BG159" s="769"/>
      <c r="BH159" s="769"/>
      <c r="BI159" s="769"/>
      <c r="BJ159" s="769"/>
      <c r="BK159" s="769"/>
      <c r="BL159" s="769"/>
      <c r="BM159" s="769"/>
      <c r="BN159" s="769"/>
      <c r="BO159" s="769"/>
      <c r="BP159" s="769"/>
      <c r="BQ159" s="769"/>
      <c r="BR159" s="769"/>
      <c r="BS159" s="769"/>
      <c r="BT159" s="769"/>
      <c r="BU159" s="769"/>
      <c r="BV159" s="769"/>
      <c r="BW159" s="769"/>
      <c r="BX159"/>
      <c r="BY159"/>
      <c r="BZ159"/>
      <c r="CA159"/>
      <c r="CB159"/>
      <c r="CC159"/>
      <c r="CD159"/>
      <c r="CE159"/>
      <c r="CF159"/>
      <c r="CG159"/>
      <c r="CH159"/>
      <c r="CI159"/>
      <c r="CJ159"/>
      <c r="CK159"/>
      <c r="CL159"/>
      <c r="CM159"/>
      <c r="CN159"/>
      <c r="CO159"/>
      <c r="CP159"/>
      <c r="CQ159" s="1406"/>
      <c r="CR159" s="81"/>
      <c r="CS159" s="81"/>
      <c r="CT159" s="81"/>
      <c r="CU159" s="81"/>
      <c r="CV159" s="81"/>
      <c r="CW159" s="81"/>
      <c r="CX159" s="81"/>
      <c r="CY159" s="81"/>
      <c r="CZ159" s="81"/>
      <c r="DA159" s="81"/>
      <c r="DB159" s="81"/>
      <c r="DC159" s="81"/>
      <c r="DD159" s="81"/>
      <c r="DE159" s="1403"/>
      <c r="DF159" s="1405"/>
      <c r="DG159" s="1403"/>
      <c r="DH159" s="1404"/>
      <c r="DI159" s="1403"/>
      <c r="DJ159" s="86"/>
      <c r="DK159" s="86"/>
      <c r="DL159" s="86"/>
      <c r="DM159"/>
      <c r="DN159" s="769"/>
      <c r="DQ159" s="1401"/>
      <c r="DR159" s="1400"/>
    </row>
    <row r="160" spans="1:122" s="554" customFormat="1">
      <c r="A160" s="769"/>
      <c r="B160" s="1412"/>
      <c r="C160" s="769"/>
      <c r="D160" s="769"/>
      <c r="E160" s="769"/>
      <c r="F160" s="769"/>
      <c r="G160" s="769"/>
      <c r="H160" s="769"/>
      <c r="I160" s="769"/>
      <c r="J160" s="769"/>
      <c r="K160" s="769"/>
      <c r="L160" s="769"/>
      <c r="M160" s="769"/>
      <c r="N160" s="769"/>
      <c r="O160" s="769"/>
      <c r="P160" s="769"/>
      <c r="Q160" s="769"/>
      <c r="R160" s="769"/>
      <c r="S160" s="769"/>
      <c r="T160" s="769"/>
      <c r="U160" s="769"/>
      <c r="V160" s="769"/>
      <c r="W160" s="769"/>
      <c r="X160" s="769"/>
      <c r="Y160" s="769"/>
      <c r="Z160" s="769"/>
      <c r="AA160" s="769"/>
      <c r="AB160" s="769"/>
      <c r="AC160" s="769"/>
      <c r="AD160" s="769"/>
      <c r="AE160" s="769"/>
      <c r="AF160" s="769"/>
      <c r="AG160" s="769"/>
      <c r="AH160" s="1413"/>
      <c r="AI160" s="769"/>
      <c r="AJ160" s="769"/>
      <c r="AK160" s="769"/>
      <c r="AL160" s="769"/>
      <c r="AM160" s="769"/>
      <c r="AN160" s="769"/>
      <c r="AO160" s="769"/>
      <c r="AP160" s="769"/>
      <c r="AQ160" s="769"/>
      <c r="AR160" s="769"/>
      <c r="AS160" s="769"/>
      <c r="AT160" s="769"/>
      <c r="AU160" s="769"/>
      <c r="AV160" s="769"/>
      <c r="AW160" s="769"/>
      <c r="AX160" s="769"/>
      <c r="AY160" s="1582"/>
      <c r="AZ160" s="1583"/>
      <c r="BA160" s="769"/>
      <c r="BB160" s="769"/>
      <c r="BC160" s="769"/>
      <c r="BD160" s="769"/>
      <c r="BE160" s="769"/>
      <c r="BF160" s="769"/>
      <c r="BG160" s="769"/>
      <c r="BH160" s="769"/>
      <c r="BI160" s="769"/>
      <c r="BJ160" s="769"/>
      <c r="BK160" s="769"/>
      <c r="BL160" s="769"/>
      <c r="BM160" s="769"/>
      <c r="BN160" s="769"/>
      <c r="BO160" s="769"/>
      <c r="BP160" s="769"/>
      <c r="BQ160" s="769"/>
      <c r="BR160" s="769"/>
      <c r="BS160" s="769"/>
      <c r="BT160" s="769"/>
      <c r="BU160" s="769"/>
      <c r="BV160" s="769"/>
      <c r="BW160" s="769"/>
      <c r="BX160"/>
      <c r="BY160"/>
      <c r="BZ160"/>
      <c r="CA160"/>
      <c r="CB160"/>
      <c r="CC160"/>
      <c r="CD160"/>
      <c r="CE160"/>
      <c r="CF160"/>
      <c r="CG160"/>
      <c r="CH160"/>
      <c r="CI160"/>
      <c r="CJ160"/>
      <c r="CK160"/>
      <c r="CL160"/>
      <c r="CM160"/>
      <c r="CN160"/>
      <c r="CO160"/>
      <c r="CP160"/>
      <c r="CQ160" s="1406"/>
      <c r="CR160" s="81"/>
      <c r="CS160" s="81"/>
      <c r="CT160" s="81"/>
      <c r="CU160" s="81"/>
      <c r="CV160" s="81"/>
      <c r="CW160" s="81"/>
      <c r="CX160" s="81"/>
      <c r="CY160" s="81"/>
      <c r="CZ160" s="81"/>
      <c r="DA160" s="81"/>
      <c r="DB160" s="81"/>
      <c r="DC160" s="81"/>
      <c r="DD160" s="81"/>
      <c r="DE160" s="1403"/>
      <c r="DF160" s="1405"/>
      <c r="DG160" s="1403"/>
      <c r="DH160" s="1404"/>
      <c r="DI160" s="1403"/>
      <c r="DJ160" s="86"/>
      <c r="DK160" s="86"/>
      <c r="DL160" s="86"/>
      <c r="DM160"/>
      <c r="DN160" s="769"/>
      <c r="DQ160" s="1401"/>
      <c r="DR160" s="1400"/>
    </row>
    <row r="161" spans="1:122" s="554" customFormat="1">
      <c r="A161" s="769"/>
      <c r="B161" s="1412"/>
      <c r="C161" s="769"/>
      <c r="D161" s="769"/>
      <c r="E161" s="769"/>
      <c r="F161" s="769"/>
      <c r="G161" s="769"/>
      <c r="H161" s="769"/>
      <c r="I161" s="769"/>
      <c r="J161" s="769"/>
      <c r="K161" s="769"/>
      <c r="L161" s="769"/>
      <c r="M161" s="769"/>
      <c r="N161" s="769"/>
      <c r="O161" s="769"/>
      <c r="P161" s="769"/>
      <c r="Q161" s="769"/>
      <c r="R161" s="769"/>
      <c r="S161" s="769"/>
      <c r="T161" s="769"/>
      <c r="U161" s="769"/>
      <c r="V161" s="769"/>
      <c r="W161" s="769"/>
      <c r="X161" s="769"/>
      <c r="Y161" s="769"/>
      <c r="Z161" s="769"/>
      <c r="AA161" s="769"/>
      <c r="AB161" s="769"/>
      <c r="AC161" s="769"/>
      <c r="AD161" s="769"/>
      <c r="AE161" s="769"/>
      <c r="AF161" s="769"/>
      <c r="AG161" s="769"/>
      <c r="AH161" s="1413"/>
      <c r="AI161" s="769"/>
      <c r="AJ161" s="769"/>
      <c r="AK161" s="769"/>
      <c r="AL161" s="769"/>
      <c r="AM161" s="769"/>
      <c r="AN161" s="769"/>
      <c r="AO161" s="769"/>
      <c r="AP161" s="769"/>
      <c r="AQ161" s="769"/>
      <c r="AR161" s="769"/>
      <c r="AS161" s="769"/>
      <c r="AT161" s="769"/>
      <c r="AU161" s="769"/>
      <c r="AV161" s="769"/>
      <c r="AW161" s="769"/>
      <c r="AX161" s="769"/>
      <c r="AY161" s="1582"/>
      <c r="AZ161" s="1583"/>
      <c r="BA161" s="769"/>
      <c r="BB161" s="769"/>
      <c r="BC161" s="769"/>
      <c r="BD161" s="769"/>
      <c r="BE161" s="769"/>
      <c r="BF161" s="769"/>
      <c r="BG161" s="769"/>
      <c r="BH161" s="769"/>
      <c r="BI161" s="769"/>
      <c r="BJ161" s="769"/>
      <c r="BK161" s="769"/>
      <c r="BL161" s="769"/>
      <c r="BM161" s="769"/>
      <c r="BN161" s="769"/>
      <c r="BO161" s="769"/>
      <c r="BP161" s="769"/>
      <c r="BQ161" s="769"/>
      <c r="BR161" s="769"/>
      <c r="BS161" s="769"/>
      <c r="BT161" s="769"/>
      <c r="BU161" s="769"/>
      <c r="BV161" s="769"/>
      <c r="BW161" s="769"/>
      <c r="BX161"/>
      <c r="BY161"/>
      <c r="BZ161"/>
      <c r="CA161"/>
      <c r="CB161"/>
      <c r="CC161"/>
      <c r="CD161"/>
      <c r="CE161"/>
      <c r="CF161"/>
      <c r="CG161"/>
      <c r="CH161"/>
      <c r="CI161"/>
      <c r="CJ161"/>
      <c r="CK161"/>
      <c r="CL161"/>
      <c r="CM161"/>
      <c r="CN161"/>
      <c r="CO161"/>
      <c r="CP161"/>
      <c r="CQ161" s="1406"/>
      <c r="CR161" s="81"/>
      <c r="CS161" s="81"/>
      <c r="CT161" s="81"/>
      <c r="CU161" s="81"/>
      <c r="CV161" s="81"/>
      <c r="CW161" s="81"/>
      <c r="CX161" s="81"/>
      <c r="CY161" s="81"/>
      <c r="CZ161" s="81"/>
      <c r="DA161" s="81"/>
      <c r="DB161" s="81"/>
      <c r="DC161" s="81"/>
      <c r="DD161" s="81"/>
      <c r="DE161" s="1403"/>
      <c r="DF161" s="1405"/>
      <c r="DG161" s="1403"/>
      <c r="DH161" s="1404"/>
      <c r="DI161" s="1403"/>
      <c r="DJ161" s="86"/>
      <c r="DK161" s="86"/>
      <c r="DL161" s="86"/>
      <c r="DM161"/>
      <c r="DN161" s="769"/>
      <c r="DQ161" s="1401"/>
      <c r="DR161" s="1400"/>
    </row>
    <row r="162" spans="1:122" s="554" customFormat="1">
      <c r="A162" s="769"/>
      <c r="B162" s="1412"/>
      <c r="C162" s="769"/>
      <c r="D162" s="769"/>
      <c r="E162" s="769"/>
      <c r="F162" s="769"/>
      <c r="G162" s="769"/>
      <c r="H162" s="769"/>
      <c r="I162" s="769"/>
      <c r="J162" s="769"/>
      <c r="K162" s="769"/>
      <c r="L162" s="769"/>
      <c r="M162" s="769"/>
      <c r="N162" s="769"/>
      <c r="O162" s="769"/>
      <c r="P162" s="769"/>
      <c r="Q162" s="769"/>
      <c r="R162" s="769"/>
      <c r="S162" s="769"/>
      <c r="T162" s="769"/>
      <c r="U162" s="769"/>
      <c r="V162" s="769"/>
      <c r="W162" s="769"/>
      <c r="X162" s="769"/>
      <c r="Y162" s="769"/>
      <c r="Z162" s="769"/>
      <c r="AA162" s="769"/>
      <c r="AB162" s="769"/>
      <c r="AC162" s="769"/>
      <c r="AD162" s="769"/>
      <c r="AE162" s="769"/>
      <c r="AF162" s="769"/>
      <c r="AG162" s="769"/>
      <c r="AH162" s="1413"/>
      <c r="AI162" s="769"/>
      <c r="AJ162" s="769"/>
      <c r="AK162" s="769"/>
      <c r="AL162" s="769"/>
      <c r="AM162" s="769"/>
      <c r="AN162" s="769"/>
      <c r="AO162" s="769"/>
      <c r="AP162" s="769"/>
      <c r="AQ162" s="769"/>
      <c r="AR162" s="769"/>
      <c r="AS162" s="769"/>
      <c r="AT162" s="769"/>
      <c r="AU162" s="769"/>
      <c r="AV162" s="769"/>
      <c r="AW162" s="769"/>
      <c r="AX162" s="769"/>
      <c r="AY162" s="1582"/>
      <c r="AZ162" s="1583"/>
      <c r="BA162" s="769"/>
      <c r="BB162" s="769"/>
      <c r="BC162" s="769"/>
      <c r="BD162" s="769"/>
      <c r="BE162" s="769"/>
      <c r="BF162" s="769"/>
      <c r="BG162" s="769"/>
      <c r="BH162" s="769"/>
      <c r="BI162" s="769"/>
      <c r="BJ162" s="769"/>
      <c r="BK162" s="769"/>
      <c r="BL162" s="769"/>
      <c r="BM162" s="769"/>
      <c r="BN162" s="769"/>
      <c r="BO162" s="769"/>
      <c r="BP162" s="769"/>
      <c r="BQ162" s="769"/>
      <c r="BR162" s="769"/>
      <c r="BS162" s="769"/>
      <c r="BT162" s="769"/>
      <c r="BU162" s="769"/>
      <c r="BV162" s="769"/>
      <c r="BW162" s="769"/>
      <c r="BX162"/>
      <c r="BY162"/>
      <c r="BZ162"/>
      <c r="CA162"/>
      <c r="CB162"/>
      <c r="CC162"/>
      <c r="CD162"/>
      <c r="CE162"/>
      <c r="CF162"/>
      <c r="CG162"/>
      <c r="CH162"/>
      <c r="CI162"/>
      <c r="CJ162"/>
      <c r="CK162"/>
      <c r="CL162"/>
      <c r="CM162"/>
      <c r="CN162"/>
      <c r="CO162"/>
      <c r="CP162"/>
      <c r="CQ162" s="1406"/>
      <c r="CR162" s="81"/>
      <c r="CS162" s="81"/>
      <c r="CT162" s="81"/>
      <c r="CU162" s="81"/>
      <c r="CV162" s="81"/>
      <c r="CW162" s="81"/>
      <c r="CX162" s="81"/>
      <c r="CY162" s="81"/>
      <c r="CZ162" s="81"/>
      <c r="DA162" s="81"/>
      <c r="DB162" s="81"/>
      <c r="DC162" s="81"/>
      <c r="DD162" s="81"/>
      <c r="DE162" s="1403"/>
      <c r="DF162" s="1405"/>
      <c r="DG162" s="1403"/>
      <c r="DH162" s="1404"/>
      <c r="DI162" s="1403"/>
      <c r="DJ162" s="86"/>
      <c r="DK162" s="86"/>
      <c r="DL162" s="86"/>
      <c r="DM162"/>
      <c r="DN162" s="769"/>
      <c r="DQ162" s="1401"/>
      <c r="DR162" s="1400"/>
    </row>
    <row r="163" spans="1:122" s="554" customFormat="1">
      <c r="A163" s="769"/>
      <c r="B163" s="1412"/>
      <c r="C163" s="769"/>
      <c r="D163" s="769"/>
      <c r="E163" s="769"/>
      <c r="F163" s="769"/>
      <c r="G163" s="769"/>
      <c r="H163" s="769"/>
      <c r="I163" s="769"/>
      <c r="J163" s="769"/>
      <c r="K163" s="769"/>
      <c r="L163" s="769"/>
      <c r="M163" s="769"/>
      <c r="N163" s="769"/>
      <c r="O163" s="769"/>
      <c r="P163" s="769"/>
      <c r="Q163" s="769"/>
      <c r="R163" s="769"/>
      <c r="S163" s="769"/>
      <c r="T163" s="769"/>
      <c r="U163" s="769"/>
      <c r="V163" s="769"/>
      <c r="W163" s="769"/>
      <c r="X163" s="769"/>
      <c r="Y163" s="769"/>
      <c r="Z163" s="769"/>
      <c r="AA163" s="769"/>
      <c r="AB163" s="769"/>
      <c r="AC163" s="769"/>
      <c r="AD163" s="769"/>
      <c r="AE163" s="769"/>
      <c r="AF163" s="769"/>
      <c r="AG163" s="769"/>
      <c r="AH163" s="1413"/>
      <c r="AI163" s="769"/>
      <c r="AJ163" s="769"/>
      <c r="AK163" s="769"/>
      <c r="AL163" s="769"/>
      <c r="AM163" s="769"/>
      <c r="AN163" s="769"/>
      <c r="AO163" s="769"/>
      <c r="AP163" s="769"/>
      <c r="AQ163" s="769"/>
      <c r="AR163" s="769"/>
      <c r="AS163" s="769"/>
      <c r="AT163" s="769"/>
      <c r="AU163" s="769"/>
      <c r="AV163" s="769"/>
      <c r="AW163" s="769"/>
      <c r="AX163" s="769"/>
      <c r="AY163" s="1582"/>
      <c r="AZ163" s="1583"/>
      <c r="BA163" s="769"/>
      <c r="BB163" s="769"/>
      <c r="BC163" s="769"/>
      <c r="BD163" s="769"/>
      <c r="BE163" s="769"/>
      <c r="BF163" s="769"/>
      <c r="BG163" s="769"/>
      <c r="BH163" s="769"/>
      <c r="BI163" s="769"/>
      <c r="BJ163" s="769"/>
      <c r="BK163" s="769"/>
      <c r="BL163" s="769"/>
      <c r="BM163" s="769"/>
      <c r="BN163" s="769"/>
      <c r="BO163" s="769"/>
      <c r="BP163" s="769"/>
      <c r="BQ163" s="769"/>
      <c r="BR163" s="769"/>
      <c r="BS163" s="769"/>
      <c r="BT163" s="769"/>
      <c r="BU163" s="769"/>
      <c r="BV163" s="769"/>
      <c r="BW163" s="769"/>
      <c r="BX163"/>
      <c r="BY163"/>
      <c r="BZ163"/>
      <c r="CA163"/>
      <c r="CB163"/>
      <c r="CC163"/>
      <c r="CD163"/>
      <c r="CE163"/>
      <c r="CF163"/>
      <c r="CG163"/>
      <c r="CH163"/>
      <c r="CI163"/>
      <c r="CJ163"/>
      <c r="CK163"/>
      <c r="CL163"/>
      <c r="CM163"/>
      <c r="CN163"/>
      <c r="CO163"/>
      <c r="CP163"/>
      <c r="CQ163" s="1406"/>
      <c r="CR163" s="81"/>
      <c r="CS163" s="81"/>
      <c r="CT163" s="81"/>
      <c r="CU163" s="81"/>
      <c r="CV163" s="81"/>
      <c r="CW163" s="81"/>
      <c r="CX163" s="81"/>
      <c r="CY163" s="81"/>
      <c r="CZ163" s="81"/>
      <c r="DA163" s="81"/>
      <c r="DB163" s="81"/>
      <c r="DC163" s="81"/>
      <c r="DD163" s="81"/>
      <c r="DE163" s="1403"/>
      <c r="DF163" s="1405"/>
      <c r="DG163" s="1403"/>
      <c r="DH163" s="1404"/>
      <c r="DI163" s="1403"/>
      <c r="DJ163" s="86"/>
      <c r="DK163" s="86"/>
      <c r="DL163" s="86"/>
      <c r="DM163"/>
      <c r="DN163" s="769"/>
      <c r="DQ163" s="1401"/>
      <c r="DR163" s="1400"/>
    </row>
    <row r="164" spans="1:122" s="554" customFormat="1">
      <c r="A164" s="769"/>
      <c r="B164" s="1412"/>
      <c r="C164" s="769"/>
      <c r="D164" s="769"/>
      <c r="E164" s="769"/>
      <c r="F164" s="769"/>
      <c r="G164" s="769"/>
      <c r="H164" s="769"/>
      <c r="I164" s="769"/>
      <c r="J164" s="769"/>
      <c r="K164" s="769"/>
      <c r="L164" s="769"/>
      <c r="M164" s="769"/>
      <c r="N164" s="769"/>
      <c r="O164" s="769"/>
      <c r="P164" s="769"/>
      <c r="Q164" s="769"/>
      <c r="R164" s="769"/>
      <c r="S164" s="769"/>
      <c r="T164" s="769"/>
      <c r="U164" s="769"/>
      <c r="V164" s="769"/>
      <c r="W164" s="769"/>
      <c r="X164" s="769"/>
      <c r="Y164" s="769"/>
      <c r="Z164" s="769"/>
      <c r="AA164" s="769"/>
      <c r="AB164" s="769"/>
      <c r="AC164" s="769"/>
      <c r="AD164" s="769"/>
      <c r="AE164" s="769"/>
      <c r="AF164" s="769"/>
      <c r="AG164" s="769"/>
      <c r="AH164" s="1413"/>
      <c r="AI164" s="769"/>
      <c r="AJ164" s="769"/>
      <c r="AK164" s="769"/>
      <c r="AL164" s="769"/>
      <c r="AM164" s="769"/>
      <c r="AN164" s="769"/>
      <c r="AO164" s="769"/>
      <c r="AP164" s="769"/>
      <c r="AQ164" s="769"/>
      <c r="AR164" s="769"/>
      <c r="AS164" s="769"/>
      <c r="AT164" s="769"/>
      <c r="AU164" s="769"/>
      <c r="AV164" s="769"/>
      <c r="AW164" s="769"/>
      <c r="AX164" s="769"/>
      <c r="AY164" s="1582"/>
      <c r="AZ164" s="1583"/>
      <c r="BA164" s="769"/>
      <c r="BB164" s="769"/>
      <c r="BC164" s="769"/>
      <c r="BD164" s="769"/>
      <c r="BE164" s="769"/>
      <c r="BF164" s="769"/>
      <c r="BG164" s="769"/>
      <c r="BH164" s="769"/>
      <c r="BI164" s="769"/>
      <c r="BJ164" s="769"/>
      <c r="BK164" s="769"/>
      <c r="BL164" s="769"/>
      <c r="BM164" s="769"/>
      <c r="BN164" s="769"/>
      <c r="BO164" s="769"/>
      <c r="BP164" s="769"/>
      <c r="BQ164" s="769"/>
      <c r="BR164" s="769"/>
      <c r="BS164" s="769"/>
      <c r="BT164" s="769"/>
      <c r="BU164" s="769"/>
      <c r="BV164" s="769"/>
      <c r="BW164" s="769"/>
      <c r="BX164"/>
      <c r="BY164"/>
      <c r="BZ164"/>
      <c r="CA164"/>
      <c r="CB164"/>
      <c r="CC164"/>
      <c r="CD164"/>
      <c r="CE164"/>
      <c r="CF164"/>
      <c r="CG164"/>
      <c r="CH164"/>
      <c r="CI164"/>
      <c r="CJ164"/>
      <c r="CK164"/>
      <c r="CL164"/>
      <c r="CM164"/>
      <c r="CN164"/>
      <c r="CO164"/>
      <c r="CP164"/>
      <c r="CQ164" s="1406"/>
      <c r="CR164" s="81"/>
      <c r="CS164" s="81"/>
      <c r="CT164" s="81"/>
      <c r="CU164" s="81"/>
      <c r="CV164" s="81"/>
      <c r="CW164" s="81"/>
      <c r="CX164" s="81"/>
      <c r="CY164" s="81"/>
      <c r="CZ164" s="81"/>
      <c r="DA164" s="81"/>
      <c r="DB164" s="81"/>
      <c r="DC164" s="81"/>
      <c r="DD164" s="81"/>
      <c r="DE164" s="1403"/>
      <c r="DF164" s="1405"/>
      <c r="DG164" s="1403"/>
      <c r="DH164" s="1404"/>
      <c r="DI164" s="1403"/>
      <c r="DJ164" s="86"/>
      <c r="DK164" s="86"/>
      <c r="DL164" s="86"/>
      <c r="DM164"/>
      <c r="DN164" s="769"/>
      <c r="DQ164" s="1401"/>
      <c r="DR164" s="1400"/>
    </row>
    <row r="165" spans="1:122" s="554" customFormat="1">
      <c r="A165" s="769"/>
      <c r="B165" s="1412"/>
      <c r="C165" s="769"/>
      <c r="D165" s="769"/>
      <c r="E165" s="769"/>
      <c r="F165" s="769"/>
      <c r="G165" s="769"/>
      <c r="H165" s="769"/>
      <c r="I165" s="769"/>
      <c r="J165" s="769"/>
      <c r="K165" s="769"/>
      <c r="L165" s="769"/>
      <c r="M165" s="769"/>
      <c r="N165" s="769"/>
      <c r="O165" s="769"/>
      <c r="P165" s="769"/>
      <c r="Q165" s="769"/>
      <c r="R165" s="769"/>
      <c r="S165" s="769"/>
      <c r="T165" s="769"/>
      <c r="U165" s="769"/>
      <c r="V165" s="769"/>
      <c r="W165" s="769"/>
      <c r="X165" s="769"/>
      <c r="Y165" s="769"/>
      <c r="Z165" s="769"/>
      <c r="AA165" s="769"/>
      <c r="AB165" s="769"/>
      <c r="AC165" s="769"/>
      <c r="AD165" s="769"/>
      <c r="AE165" s="769"/>
      <c r="AF165" s="769"/>
      <c r="AG165" s="769"/>
      <c r="AH165" s="1413"/>
      <c r="AI165" s="769"/>
      <c r="AJ165" s="769"/>
      <c r="AK165" s="769"/>
      <c r="AL165" s="769"/>
      <c r="AM165" s="769"/>
      <c r="AN165" s="769"/>
      <c r="AO165" s="769"/>
      <c r="AP165" s="769"/>
      <c r="AQ165" s="769"/>
      <c r="AR165" s="769"/>
      <c r="AS165" s="769"/>
      <c r="AT165" s="769"/>
      <c r="AU165" s="769"/>
      <c r="AV165" s="769"/>
      <c r="AW165" s="769"/>
      <c r="AX165" s="769"/>
      <c r="AY165" s="1582"/>
      <c r="AZ165" s="1583"/>
      <c r="BA165" s="769"/>
      <c r="BB165" s="769"/>
      <c r="BC165" s="769"/>
      <c r="BD165" s="769"/>
      <c r="BE165" s="769"/>
      <c r="BF165" s="769"/>
      <c r="BG165" s="769"/>
      <c r="BH165" s="769"/>
      <c r="BI165" s="769"/>
      <c r="BJ165" s="769"/>
      <c r="BK165" s="769"/>
      <c r="BL165" s="769"/>
      <c r="BM165" s="769"/>
      <c r="BN165" s="769"/>
      <c r="BO165" s="769"/>
      <c r="BP165" s="769"/>
      <c r="BQ165" s="769"/>
      <c r="BR165" s="769"/>
      <c r="BS165" s="769"/>
      <c r="BT165" s="769"/>
      <c r="BU165" s="769"/>
      <c r="BV165" s="769"/>
      <c r="BW165" s="769"/>
      <c r="BX165"/>
      <c r="BY165"/>
      <c r="BZ165"/>
      <c r="CA165"/>
      <c r="CB165"/>
      <c r="CC165"/>
      <c r="CD165"/>
      <c r="CE165"/>
      <c r="CF165"/>
      <c r="CG165"/>
      <c r="CH165"/>
      <c r="CI165"/>
      <c r="CJ165"/>
      <c r="CK165"/>
      <c r="CL165"/>
      <c r="CM165"/>
      <c r="CN165"/>
      <c r="CO165"/>
      <c r="CP165"/>
      <c r="CQ165" s="1406"/>
      <c r="CR165" s="81"/>
      <c r="CS165" s="81"/>
      <c r="CT165" s="81"/>
      <c r="CU165" s="81"/>
      <c r="CV165" s="81"/>
      <c r="CW165" s="81"/>
      <c r="CX165" s="81"/>
      <c r="CY165" s="81"/>
      <c r="CZ165" s="81"/>
      <c r="DA165" s="81"/>
      <c r="DB165" s="81"/>
      <c r="DC165" s="81"/>
      <c r="DD165" s="81"/>
      <c r="DE165" s="1403"/>
      <c r="DF165" s="1405"/>
      <c r="DG165" s="1403"/>
      <c r="DH165" s="1404"/>
      <c r="DI165" s="1403"/>
      <c r="DJ165" s="86"/>
      <c r="DK165" s="86"/>
      <c r="DL165" s="86"/>
      <c r="DM165"/>
      <c r="DN165" s="769"/>
      <c r="DQ165" s="1401"/>
      <c r="DR165" s="1400"/>
    </row>
    <row r="166" spans="1:122" s="554" customFormat="1">
      <c r="A166" s="769"/>
      <c r="B166" s="1412"/>
      <c r="C166" s="769"/>
      <c r="D166" s="769"/>
      <c r="E166" s="769"/>
      <c r="F166" s="769"/>
      <c r="G166" s="769"/>
      <c r="H166" s="769"/>
      <c r="I166" s="769"/>
      <c r="J166" s="769"/>
      <c r="K166" s="769"/>
      <c r="L166" s="769"/>
      <c r="M166" s="769"/>
      <c r="N166" s="769"/>
      <c r="O166" s="769"/>
      <c r="P166" s="769"/>
      <c r="Q166" s="769"/>
      <c r="R166" s="769"/>
      <c r="S166" s="769"/>
      <c r="T166" s="769"/>
      <c r="U166" s="769"/>
      <c r="V166" s="769"/>
      <c r="W166" s="769"/>
      <c r="X166" s="769"/>
      <c r="Y166" s="769"/>
      <c r="Z166" s="769"/>
      <c r="AA166" s="769"/>
      <c r="AB166" s="769"/>
      <c r="AC166" s="769"/>
      <c r="AD166" s="769"/>
      <c r="AE166" s="769"/>
      <c r="AF166" s="769"/>
      <c r="AG166" s="769"/>
      <c r="AH166" s="1413"/>
      <c r="AI166" s="769"/>
      <c r="AJ166" s="769"/>
      <c r="AK166" s="769"/>
      <c r="AL166" s="769"/>
      <c r="AM166" s="769"/>
      <c r="AN166" s="769"/>
      <c r="AO166" s="769"/>
      <c r="AP166" s="769"/>
      <c r="AQ166" s="769"/>
      <c r="AR166" s="769"/>
      <c r="AS166" s="769"/>
      <c r="AT166" s="769"/>
      <c r="AU166" s="769"/>
      <c r="AV166" s="769"/>
      <c r="AW166" s="769"/>
      <c r="AX166" s="769"/>
      <c r="AY166" s="1582"/>
      <c r="AZ166" s="1583"/>
      <c r="BA166" s="769"/>
      <c r="BB166" s="769"/>
      <c r="BC166" s="769"/>
      <c r="BD166" s="769"/>
      <c r="BE166" s="769"/>
      <c r="BF166" s="769"/>
      <c r="BG166" s="769"/>
      <c r="BH166" s="769"/>
      <c r="BI166" s="769"/>
      <c r="BJ166" s="769"/>
      <c r="BK166" s="769"/>
      <c r="BL166" s="769"/>
      <c r="BM166" s="769"/>
      <c r="BN166" s="769"/>
      <c r="BO166" s="769"/>
      <c r="BP166" s="769"/>
      <c r="BQ166" s="769"/>
      <c r="BR166" s="769"/>
      <c r="BS166" s="769"/>
      <c r="BT166" s="769"/>
      <c r="BU166" s="769"/>
      <c r="BV166" s="769"/>
      <c r="BW166" s="769"/>
      <c r="BX166"/>
      <c r="BY166"/>
      <c r="BZ166"/>
      <c r="CA166"/>
      <c r="CB166"/>
      <c r="CC166"/>
      <c r="CD166"/>
      <c r="CE166"/>
      <c r="CF166"/>
      <c r="CG166"/>
      <c r="CH166"/>
      <c r="CI166"/>
      <c r="CJ166"/>
      <c r="CK166"/>
      <c r="CL166"/>
      <c r="CM166"/>
      <c r="CN166"/>
      <c r="CO166"/>
      <c r="CP166"/>
      <c r="CQ166" s="1406"/>
      <c r="CR166" s="81"/>
      <c r="CS166" s="81"/>
      <c r="CT166" s="81"/>
      <c r="CU166" s="81"/>
      <c r="CV166" s="81"/>
      <c r="CW166" s="81"/>
      <c r="CX166" s="81"/>
      <c r="CY166" s="81"/>
      <c r="CZ166" s="81"/>
      <c r="DA166" s="81"/>
      <c r="DB166" s="81"/>
      <c r="DC166" s="81"/>
      <c r="DD166" s="81"/>
      <c r="DE166" s="1403"/>
      <c r="DF166" s="1405"/>
      <c r="DG166" s="1403"/>
      <c r="DH166" s="1404"/>
      <c r="DI166" s="1403"/>
      <c r="DJ166" s="86"/>
      <c r="DK166" s="86"/>
      <c r="DL166" s="86"/>
      <c r="DM166"/>
      <c r="DN166" s="769"/>
      <c r="DQ166" s="1401"/>
      <c r="DR166" s="1400"/>
    </row>
    <row r="167" spans="1:122" s="554" customFormat="1">
      <c r="A167" s="769"/>
      <c r="B167" s="1412"/>
      <c r="C167" s="769"/>
      <c r="D167" s="769"/>
      <c r="E167" s="769"/>
      <c r="F167" s="769"/>
      <c r="G167" s="769"/>
      <c r="H167" s="769"/>
      <c r="I167" s="769"/>
      <c r="J167" s="769"/>
      <c r="K167" s="769"/>
      <c r="L167" s="769"/>
      <c r="M167" s="769"/>
      <c r="N167" s="769"/>
      <c r="O167" s="769"/>
      <c r="P167" s="769"/>
      <c r="Q167" s="769"/>
      <c r="R167" s="769"/>
      <c r="S167" s="769"/>
      <c r="T167" s="769"/>
      <c r="U167" s="769"/>
      <c r="V167" s="769"/>
      <c r="W167" s="769"/>
      <c r="X167" s="769"/>
      <c r="Y167" s="769"/>
      <c r="Z167" s="769"/>
      <c r="AA167" s="769"/>
      <c r="AB167" s="769"/>
      <c r="AC167" s="769"/>
      <c r="AD167" s="769"/>
      <c r="AE167" s="769"/>
      <c r="AF167" s="769"/>
      <c r="AG167" s="769"/>
      <c r="AH167" s="1413"/>
      <c r="AI167" s="769"/>
      <c r="AJ167" s="769"/>
      <c r="AK167" s="769"/>
      <c r="AL167" s="769"/>
      <c r="AM167" s="769"/>
      <c r="AN167" s="769"/>
      <c r="AO167" s="769"/>
      <c r="AP167" s="769"/>
      <c r="AQ167" s="769"/>
      <c r="AR167" s="769"/>
      <c r="AS167" s="769"/>
      <c r="AT167" s="769"/>
      <c r="AU167" s="769"/>
      <c r="AV167" s="769"/>
      <c r="AW167" s="769"/>
      <c r="AX167" s="769"/>
      <c r="AY167" s="1589"/>
      <c r="AZ167" s="1583"/>
      <c r="BA167" s="769"/>
      <c r="BB167" s="769"/>
      <c r="BC167" s="769"/>
      <c r="BD167" s="769"/>
      <c r="BE167" s="769"/>
      <c r="BF167" s="769"/>
      <c r="BG167" s="769"/>
      <c r="BH167" s="769"/>
      <c r="BI167" s="769"/>
      <c r="BJ167" s="769"/>
      <c r="BK167" s="769"/>
      <c r="BL167" s="769"/>
      <c r="BM167" s="769"/>
      <c r="BN167" s="769"/>
      <c r="BO167" s="769"/>
      <c r="BP167" s="769"/>
      <c r="BQ167" s="769"/>
      <c r="BR167" s="769"/>
      <c r="BS167" s="769"/>
      <c r="BT167" s="769"/>
      <c r="BU167" s="769"/>
      <c r="BV167" s="769"/>
      <c r="BW167" s="769"/>
      <c r="BX167"/>
      <c r="BY167"/>
      <c r="BZ167"/>
      <c r="CA167"/>
      <c r="CB167"/>
      <c r="CC167"/>
      <c r="CD167"/>
      <c r="CE167"/>
      <c r="CF167"/>
      <c r="CG167"/>
      <c r="CH167"/>
      <c r="CI167"/>
      <c r="CJ167"/>
      <c r="CK167"/>
      <c r="CL167"/>
      <c r="CM167"/>
      <c r="CN167"/>
      <c r="CO167"/>
      <c r="CP167"/>
      <c r="CQ167" s="1406"/>
      <c r="CR167" s="81"/>
      <c r="CS167" s="81"/>
      <c r="CT167" s="81"/>
      <c r="CU167" s="81"/>
      <c r="CV167" s="81"/>
      <c r="CW167" s="81"/>
      <c r="CX167" s="81"/>
      <c r="CY167" s="81"/>
      <c r="CZ167" s="81"/>
      <c r="DA167" s="81"/>
      <c r="DB167" s="81"/>
      <c r="DC167" s="81"/>
      <c r="DD167" s="81"/>
      <c r="DE167" s="1403"/>
      <c r="DF167" s="1405"/>
      <c r="DG167" s="1403"/>
      <c r="DH167" s="1404"/>
      <c r="DI167" s="1403"/>
      <c r="DJ167" s="86"/>
      <c r="DK167" s="86"/>
      <c r="DL167" s="86"/>
      <c r="DM167"/>
      <c r="DN167" s="769"/>
      <c r="DQ167" s="1401"/>
      <c r="DR167" s="1400"/>
    </row>
  </sheetData>
  <sheetProtection deleteRows="0" selectLockedCells="1" sort="0"/>
  <sortState ref="A2:AN43">
    <sortCondition ref="B2:B43"/>
    <sortCondition ref="AN2:AN43"/>
  </sortState>
  <dataConsolidate/>
  <mergeCells count="3">
    <mergeCell ref="AY1:AZ1"/>
    <mergeCell ref="CQ1:DD1"/>
    <mergeCell ref="BB44:BT45"/>
  </mergeCells>
  <conditionalFormatting sqref="BX9:BX14 BK11:BL11 BM13 CO12:CO21 BW11 BU11 BU14:BU21 BV23 BW13 BL13:BL21 BN13:BT21 BB13:BJ21 BM21 BM37 BM39:BM40 BB35:BB42 BL35:BT35 BL36:BL43 BN36:BT43 BV11:BV14 BB24:BJ32 BL24:BT32 BC35:BJ35 BD36:BJ43 BM43">
    <cfRule type="cellIs" dxfId="245" priority="25" stopIfTrue="1" operator="equal">
      <formula>""</formula>
    </cfRule>
  </conditionalFormatting>
  <conditionalFormatting sqref="BC11 BM11">
    <cfRule type="cellIs" dxfId="244" priority="26" stopIfTrue="1" operator="equal">
      <formula>" contre exempt"</formula>
    </cfRule>
  </conditionalFormatting>
  <conditionalFormatting sqref="BV13">
    <cfRule type="cellIs" dxfId="243" priority="27" stopIfTrue="1" operator="equal">
      <formula>""</formula>
    </cfRule>
  </conditionalFormatting>
  <conditionalFormatting sqref="BW12 BW14">
    <cfRule type="cellIs" dxfId="242" priority="28" stopIfTrue="1" operator="equal">
      <formula>""</formula>
    </cfRule>
    <cfRule type="cellIs" dxfId="241" priority="29" stopIfTrue="1" operator="equal">
      <formula>$A$103</formula>
    </cfRule>
  </conditionalFormatting>
  <conditionalFormatting sqref="CM1 CA1 CC1 CE1 CG1 CI1 CK1 BX71:CP73 BX93:CP107 BW74:CO75 BV76:CN92 BD1 BU1 BK1 BW1:BY1">
    <cfRule type="cellIs" dxfId="240" priority="30" stopIfTrue="1" operator="equal">
      <formula>0</formula>
    </cfRule>
  </conditionalFormatting>
  <conditionalFormatting sqref="BC1 AK2:AK36 AH2:AH48 AN2:AN48 AK38:AK48">
    <cfRule type="cellIs" dxfId="239" priority="31" stopIfTrue="1" operator="greaterThan">
      <formula>0.5</formula>
    </cfRule>
  </conditionalFormatting>
  <conditionalFormatting sqref="A105:A106">
    <cfRule type="cellIs" dxfId="238" priority="32" stopIfTrue="1" operator="equal">
      <formula>""</formula>
    </cfRule>
  </conditionalFormatting>
  <conditionalFormatting sqref="BM14:BM21">
    <cfRule type="cellIs" dxfId="237" priority="33" stopIfTrue="1" operator="equal">
      <formula>""</formula>
    </cfRule>
    <cfRule type="cellIs" dxfId="236" priority="34" stopIfTrue="1" operator="equal">
      <formula>$A$82</formula>
    </cfRule>
  </conditionalFormatting>
  <conditionalFormatting sqref="BM36:BT43">
    <cfRule type="cellIs" dxfId="235" priority="35" stopIfTrue="1" operator="equal">
      <formula>""</formula>
    </cfRule>
    <cfRule type="cellIs" dxfId="234" priority="36" stopIfTrue="1" operator="equal">
      <formula>$A$76</formula>
    </cfRule>
  </conditionalFormatting>
  <conditionalFormatting sqref="BC14:BC21 BM43:BT43">
    <cfRule type="cellIs" dxfId="231" priority="22" operator="equal">
      <formula>$A$80</formula>
    </cfRule>
  </conditionalFormatting>
  <conditionalFormatting sqref="BB42 BC36:BC42 BL35:BM43 BN36:BT43 BB32:BC32 BL32:BM32">
    <cfRule type="cellIs" dxfId="230" priority="20" stopIfTrue="1" operator="equal">
      <formula>""</formula>
    </cfRule>
    <cfRule type="cellIs" dxfId="229" priority="21" stopIfTrue="1" operator="equal">
      <formula>$A$84</formula>
    </cfRule>
  </conditionalFormatting>
  <conditionalFormatting sqref="BM25:BM31">
    <cfRule type="cellIs" dxfId="228" priority="18" operator="equal">
      <formula>$A$84</formula>
    </cfRule>
    <cfRule type="cellIs" dxfId="227" priority="19" operator="equal">
      <formula>$A$85</formula>
    </cfRule>
  </conditionalFormatting>
  <conditionalFormatting sqref="BM43 BC25:BC32 BM32">
    <cfRule type="cellIs" dxfId="226" priority="17" operator="equal">
      <formula>$A$84</formula>
    </cfRule>
  </conditionalFormatting>
  <conditionalFormatting sqref="BC36:BC42 BM36:BT43 BC32 BM32">
    <cfRule type="cellIs" dxfId="225" priority="16" operator="equal">
      <formula>$A$86</formula>
    </cfRule>
  </conditionalFormatting>
  <conditionalFormatting sqref="AK37">
    <cfRule type="cellIs" dxfId="224" priority="15" stopIfTrue="1" operator="greaterThan">
      <formula>0.5</formula>
    </cfRule>
  </conditionalFormatting>
  <conditionalFormatting sqref="BB43">
    <cfRule type="cellIs" dxfId="223" priority="14" stopIfTrue="1" operator="equal">
      <formula>""</formula>
    </cfRule>
  </conditionalFormatting>
  <conditionalFormatting sqref="BB43:BC43">
    <cfRule type="cellIs" dxfId="222" priority="12" stopIfTrue="1" operator="equal">
      <formula>""</formula>
    </cfRule>
    <cfRule type="cellIs" dxfId="221" priority="13" stopIfTrue="1" operator="equal">
      <formula>$A$84</formula>
    </cfRule>
  </conditionalFormatting>
  <conditionalFormatting sqref="BC43">
    <cfRule type="cellIs" dxfId="220" priority="11" operator="equal">
      <formula>$A$86</formula>
    </cfRule>
  </conditionalFormatting>
  <conditionalFormatting sqref="BK22:BL22 BU22">
    <cfRule type="cellIs" dxfId="133" priority="9" stopIfTrue="1" operator="equal">
      <formula>""</formula>
    </cfRule>
  </conditionalFormatting>
  <conditionalFormatting sqref="BC22 BM22">
    <cfRule type="cellIs" dxfId="131" priority="10" stopIfTrue="1" operator="equal">
      <formula>" contre exempt"</formula>
    </cfRule>
  </conditionalFormatting>
  <conditionalFormatting sqref="BK33:BL33 BU33">
    <cfRule type="cellIs" dxfId="129" priority="7" stopIfTrue="1" operator="equal">
      <formula>""</formula>
    </cfRule>
  </conditionalFormatting>
  <conditionalFormatting sqref="BC33 BM33">
    <cfRule type="cellIs" dxfId="127" priority="8" stopIfTrue="1" operator="equal">
      <formula>" contre exempt"</formula>
    </cfRule>
  </conditionalFormatting>
  <conditionalFormatting sqref="BB2:BJ10">
    <cfRule type="cellIs" dxfId="121" priority="4" stopIfTrue="1" operator="equal">
      <formula>""</formula>
    </cfRule>
  </conditionalFormatting>
  <conditionalFormatting sqref="BC3:BC10">
    <cfRule type="cellIs" dxfId="119" priority="3" operator="equal">
      <formula>$A$80</formula>
    </cfRule>
  </conditionalFormatting>
  <conditionalFormatting sqref="BL3:BT10">
    <cfRule type="cellIs" dxfId="117" priority="2" stopIfTrue="1" operator="equal">
      <formula>""</formula>
    </cfRule>
  </conditionalFormatting>
  <conditionalFormatting sqref="BM3:BM10">
    <cfRule type="cellIs" dxfId="115" priority="1" operator="equal">
      <formula>$A$80</formula>
    </cfRule>
  </conditionalFormatting>
  <dataValidations count="2">
    <dataValidation allowBlank="1" showInputMessage="1" showErrorMessage="1" promptTitle="n° d'équipe" prompt="1;2;3;4..." sqref="C2:P70"/>
    <dataValidation allowBlank="1" showInputMessage="1" showErrorMessage="1" promptTitle="Matchs gagnés" prompt="Indiquez le nombre de matchs gagnés de 0 à 3" sqref="Q2:AD43"/>
  </dataValidations>
  <pageMargins left="0.55000000000000004" right="0.23622047244094491" top="0.39370078740157483" bottom="0.35433070866141736" header="0.31496062992125984" footer="0.31496062992125984"/>
  <pageSetup paperSize="9" scale="52" orientation="landscape" r:id="rId1"/>
  <headerFooter alignWithMargins="0"/>
  <rowBreaks count="2" manualBreakCount="2">
    <brk id="28" max="16383" man="1"/>
    <brk id="33" max="16383" man="1"/>
  </rowBreaks>
  <colBreaks count="1" manualBreakCount="1">
    <brk id="75"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26"/>
  <sheetViews>
    <sheetView topLeftCell="A22" zoomScaleNormal="100" workbookViewId="0">
      <selection activeCell="N1" sqref="N1:Y1048576"/>
    </sheetView>
  </sheetViews>
  <sheetFormatPr baseColWidth="10" defaultRowHeight="15"/>
  <cols>
    <col min="1" max="1" width="17.140625" style="429" customWidth="1"/>
    <col min="2" max="2" width="5.5703125" style="338" customWidth="1"/>
    <col min="3" max="3" width="6" style="338" customWidth="1"/>
    <col min="4" max="4" width="6.7109375" style="338" customWidth="1"/>
    <col min="5" max="5" width="6.42578125" style="338" customWidth="1"/>
    <col min="6" max="6" width="17.85546875" style="429" customWidth="1"/>
    <col min="7" max="7" width="5.5703125" style="338" customWidth="1"/>
    <col min="8" max="8" width="6.42578125" style="338" customWidth="1"/>
    <col min="9" max="11" width="5.5703125" style="338" customWidth="1"/>
    <col min="12" max="12" width="5.42578125" style="338" customWidth="1"/>
    <col min="13" max="13" width="4.28515625" style="393" customWidth="1"/>
    <col min="14" max="25" width="0" style="338" hidden="1" customWidth="1"/>
    <col min="26" max="26" width="14.28515625" style="530" customWidth="1"/>
    <col min="27" max="29" width="11.42578125" style="530"/>
    <col min="30" max="30" width="4.5703125" style="530" customWidth="1"/>
    <col min="31" max="31" width="15" style="530" customWidth="1"/>
    <col min="32" max="32" width="7.5703125" style="530" customWidth="1"/>
    <col min="33" max="33" width="6.85546875" style="530" customWidth="1"/>
    <col min="34" max="34" width="5.28515625" style="530" customWidth="1"/>
    <col min="35" max="35" width="5.140625" style="530" customWidth="1"/>
    <col min="36" max="37" width="4.85546875" style="530" customWidth="1"/>
    <col min="38" max="38" width="5.5703125" style="530" customWidth="1"/>
    <col min="39" max="16384" width="11.42578125" style="338"/>
  </cols>
  <sheetData>
    <row r="1" spans="1:38" ht="18.75">
      <c r="A1" s="333" t="s">
        <v>417</v>
      </c>
      <c r="B1" s="334"/>
      <c r="C1" s="334"/>
      <c r="D1" s="334"/>
      <c r="E1" s="334"/>
      <c r="F1" s="335"/>
      <c r="G1" s="334"/>
      <c r="H1" s="334"/>
      <c r="I1" s="334"/>
      <c r="J1" s="334"/>
      <c r="K1" s="334"/>
      <c r="L1" s="336"/>
      <c r="M1" s="337"/>
      <c r="Z1" s="339"/>
      <c r="AA1" s="340"/>
      <c r="AB1" s="340"/>
      <c r="AC1" s="340"/>
      <c r="AD1" s="340"/>
      <c r="AE1" s="341"/>
      <c r="AF1" s="340"/>
      <c r="AG1" s="340"/>
      <c r="AH1" s="340"/>
      <c r="AI1" s="340"/>
      <c r="AJ1" s="340"/>
      <c r="AK1" s="340"/>
      <c r="AL1" s="340"/>
    </row>
    <row r="2" spans="1:38" ht="18.75">
      <c r="A2" s="342" t="str">
        <f ca="1">VLOOKUP($N$17,$F$18:$M$172,4,FALSE)+VLOOKUP($N$18,$F$18:$M$172,4,FALSE)+VLOOKUP($N$19,$F$18:$M$180,4,FALSE)+VLOOKUP($N$20,$F$18:$M$180,4,FALSE)+VLOOKUP($N$22,$F$18:$M$180,4,FALSE)+VLOOKUP($N$21,$F$18:$M$180,4,FALSE)+VLOOKUP($N$23,$F$18:$M$180,4,FALSE)+VLOOKUP($N$24,$F$18:$M$180,4,FALSE)&amp;" victoires , "&amp;VLOOKUP($N$17,$F$18:$M$180,5,FALSE)+VLOOKUP($N$18,$F$18:$M$180,5,FALSE)+VLOOKUP($N$19,$F$18:$M$180,5,FALSE)+VLOOKUP($N$20,$F$18:$M$180,5,FALSE)+VLOOKUP($N$22,$F$18:$M$180,5,FALSE)+VLOOKUP($N$21,$F$18:$M$180,5,FALSE)+VLOOKUP($N$23,$F$18:$M$180,5,FALSE)+VLOOKUP($N$24,$F$18:$M$180,5,FALSE)&amp;" nuls et "&amp;VLOOKUP($N$17,$F$18:$M$180,6,FALSE)+VLOOKUP($N$18,$F$18:$M$180,6,FALSE)+VLOOKUP($N$19,$F$18:$M$180,6,FALSE)+VLOOKUP($N$20,$F$18:$M$180,6,FALSE)+VLOOKUP($N$22,$F$18:$M$180,6,FALSE)+VLOOKUP($N$21,$F$18:$M$180,6,FALSE)+VLOOKUP($N$23,$F$18:$M$180,6,FALSE)+VLOOKUP($N$24,$F$18:$M$180,6,FALSE)&amp;" défaites d'équipe pour cette phase. ("&amp;ROUND((VLOOKUP($N$17,$F$18:$M$180,4,FALSE)+VLOOKUP($N$18,$F$18:$M$180,4,FALSE)+VLOOKUP($N$19,$F$18:$M$180,4,FALSE)+VLOOKUP($N$20,$F$18:$M$180,4,FALSE)+VLOOKUP($N$22,$F$18:$M$180,4,FALSE)+VLOOKUP($N$21,$F$18:$M$180,4,FALSE)+VLOOKUP($N$23,$F$18:$M$180,4,FALSE)+VLOOKUP($N$24,$F$18:$M$180,4,FALSE)+VLOOKUP($N$17,$F$18:$M$180,5,FALSE)+VLOOKUP($N$18,$F$18:$M$180,5,FALSE)+VLOOKUP($N$19,$F$18:$M$180,5,FALSE)+VLOOKUP($N$20,$F$18:$M$180,5,FALSE)+VLOOKUP($N$22,$F$18:$M$180,5,FALSE)+VLOOKUP($N$21,$F$18:$M$180,5,FALSE)+VLOOKUP($N$23,$F$18:$M$180,5,FALSE)+VLOOKUP($N$24,$F$18:$M$180,5,FALSE))/(VLOOKUP($N$17,$F$18:$M$180,4,FALSE)+VLOOKUP($N$18,$F$18:$M$180,4,FALSE)+VLOOKUP($N$19,$F$18:$M$180,4,FALSE)+VLOOKUP($N$20,$F$18:$M$180,4,FALSE)+VLOOKUP($N$22,$F$18:$M$180,4,FALSE)+VLOOKUP($N$21,$F$18:$M$180,4,FALSE)+VLOOKUP($N$23,$F$18:$M$180,4,FALSE)+VLOOKUP($N$24,$F$18:$M$180,4,FALSE)+VLOOKUP($N$17,$F$18:$M$180,5,FALSE)+VLOOKUP($N$18,$F$18:$M$180,5,FALSE)+VLOOKUP($N$19,$F$18:$M$180,5,FALSE)+VLOOKUP($N$20,$F$18:$M$180,5,FALSE)+VLOOKUP($N$22,$F$18:$M$180,5,FALSE)+VLOOKUP($N$21,$F$18:$M$180,5,FALSE)+VLOOKUP($N$23,$F$18:$M$180,5,FALSE)+VLOOKUP($N$24,$F$18:$M$180,5,FALSE)+VLOOKUP($N$17,$F$18:$M$180,6,FALSE)+VLOOKUP($N$18,$F$18:$M$180,6,FALSE)+VLOOKUP($N$19,$F$18:$M$180,6,FALSE)+VLOOKUP($N$20,$F$18:$M$180,6,FALSE)+VLOOKUP($N$22,$F$18:$M$180,6,FALSE)+VLOOKUP($N$21,$F$18:$M$180,6,FALSE)+VLOOKUP($N$23,$F$18:$M$180,6,FALSE)+VLOOKUP($N$24,$F$18:$M$180,6,FALSE)),2)*100&amp;" %)"</f>
        <v>26 victoires , 7 nuls et 22 défaites d'équipe pour cette phase. (60 %)</v>
      </c>
      <c r="B2" s="343"/>
      <c r="C2" s="343"/>
      <c r="D2" s="343"/>
      <c r="E2" s="343"/>
      <c r="F2" s="343"/>
      <c r="G2" s="343"/>
      <c r="H2" s="343"/>
      <c r="I2" s="343"/>
      <c r="J2" s="343"/>
      <c r="K2" s="343"/>
      <c r="L2" s="343"/>
      <c r="M2" s="344"/>
      <c r="Z2" s="339"/>
      <c r="AA2" s="340"/>
      <c r="AB2" s="340"/>
      <c r="AC2" s="340"/>
      <c r="AD2" s="340"/>
      <c r="AE2" s="341"/>
      <c r="AF2" s="340"/>
      <c r="AG2" s="340"/>
      <c r="AH2" s="340"/>
      <c r="AI2" s="340"/>
      <c r="AJ2" s="340"/>
      <c r="AK2" s="340"/>
      <c r="AL2" s="340"/>
    </row>
    <row r="3" spans="1:38" ht="18.75">
      <c r="A3" s="345" t="str">
        <f ca="1">VLOOKUP($N$17,$F$18:$M$180,7,FALSE)+VLOOKUP($N$18,$F$18:$M$180,7,FALSE)+VLOOKUP($N$19,$F$18:$M$180,7,FALSE)+VLOOKUP($N$20,$F$18:$M$180,7,FALSE)+VLOOKUP($N$22,$F$18:$M$180,7,FALSE)+VLOOKUP($N$21,$F$18:$M$180,7,FALSE)+VLOOKUP($N$23,$F$18:$M$180,7,FALSE)-(B28+B48+B71+B91+B112+B133+B154)&amp;" victoires sur "&amp;VLOOKUP($N$17,$F$18:$M$180,7,FALSE)+VLOOKUP($N$18,$F$18:$M$180,7,FALSE)+VLOOKUP($N$19,$F$18:$M$180,7,FALSE)+VLOOKUP($N$20,$F$18:$M$180,7,FALSE)+VLOOKUP($N$22,$F$18:$M$180,7,FALSE)+VLOOKUP($N$21,$F$18:$M$180,7,FALSE)+VLOOKUP($N$23,$F$18:$M$180,7,FALSE)+VLOOKUP($N$17,$F$18:$M$180,8,FALSE)+VLOOKUP($N$18,$F$18:$M$180,8,FALSE)+VLOOKUP($N$19,$F$18:$M$180,8,FALSE)+VLOOKUP($N$20,$F$18:$M$180,8,FALSE)+VLOOKUP($N$22,$F$18:$M$180,8,FALSE)+VLOOKUP($N$21,$F$18:$M$180,8,FALSE)+VLOOKUP($N$23,$F$18:$M$180,8,FALSE)-C28-C48-C71-C91-C112-C133-C154&amp;" simples. ("&amp;ROUND((VLOOKUP($N$17,$F$18:$M$180,7,FALSE)+VLOOKUP($N$18,$F$18:$M$180,7,FALSE)+VLOOKUP($N$19,$F$18:$M$180,7,FALSE)+VLOOKUP($N$20,$F$18:$M$180,7,FALSE)+VLOOKUP($N$22,$F$18:$M$180,7,FALSE)+VLOOKUP($N$21,$F$18:$M$180,7,FALSE)+VLOOKUP($N$23,$F$18:$M$180,7,FALSE)-(B28+B48+B71+B91+B112+B133+B154))/(VLOOKUP($N$17,$F$18:$M$180,7,FALSE)+VLOOKUP($N$18,$F$18:$M$180,7,FALSE)+VLOOKUP($N$19,$F$18:$M$180,7,FALSE)+VLOOKUP($N$20,$F$18:$M$180,7,FALSE)+VLOOKUP($N$22,$F$18:$M$180,7,FALSE)+VLOOKUP($N$21,$F$18:$M$180,7,FALSE)+VLOOKUP($N$23,$F$18:$M$180,7,FALSE)+VLOOKUP($N$17,$F$18:$M$180,8,FALSE)+VLOOKUP($N$18,$F$18:$M$180,8,FALSE)+VLOOKUP($N$19,$F$18:$M$180,8,FALSE)+VLOOKUP($N$20,$F$18:$M$180,8,FALSE)+VLOOKUP($N$22,$F$18:$M$180,8,FALSE)+VLOOKUP($N$21,$F$18:$M$180,8,FALSE)+VLOOKUP($N$23,$F$18:$M$180,8,FALSE)-C28-C48-C71-C91-C112-C133-C154),2)*100&amp;" %)"</f>
        <v>319 victoires sur 588 simples. (54 %)</v>
      </c>
      <c r="B3" s="346"/>
      <c r="C3" s="346"/>
      <c r="D3" s="346"/>
      <c r="E3" s="346"/>
      <c r="F3" s="346"/>
      <c r="G3" s="346"/>
      <c r="H3" s="346"/>
      <c r="I3" s="346"/>
      <c r="J3" s="346"/>
      <c r="K3" s="346"/>
      <c r="L3" s="346"/>
      <c r="M3" s="347"/>
      <c r="Z3" s="339"/>
      <c r="AA3" s="340"/>
      <c r="AB3" s="340"/>
      <c r="AC3" s="340"/>
      <c r="AD3" s="340"/>
      <c r="AE3" s="341"/>
      <c r="AF3" s="340"/>
      <c r="AG3" s="340"/>
      <c r="AH3" s="340"/>
      <c r="AI3" s="340"/>
      <c r="AJ3" s="340"/>
      <c r="AK3" s="340"/>
      <c r="AL3" s="340"/>
    </row>
    <row r="4" spans="1:38" ht="18.75">
      <c r="A4" s="345" t="str">
        <f ca="1">B28+B48+B71+B91+B112+B133+B154&amp;" doubles gagnés sur "&amp;C154+C133+C112+C91+C71+C48+C28&amp;" disputés ("&amp;ROUND((B28+B48+B71+B91+B112+B133+B154)/(C154+C133+C112+C91+C71+C48+C28),2)*100&amp;"%)"</f>
        <v>62 doubles gagnés sur 98 disputés (63%)</v>
      </c>
      <c r="B4" s="346"/>
      <c r="C4" s="346"/>
      <c r="D4" s="346"/>
      <c r="E4" s="346"/>
      <c r="F4" s="346"/>
      <c r="G4" s="346"/>
      <c r="H4" s="346"/>
      <c r="I4" s="346"/>
      <c r="J4" s="346"/>
      <c r="K4" s="346"/>
      <c r="L4" s="346"/>
      <c r="M4" s="347"/>
      <c r="Z4" s="339"/>
      <c r="AA4" s="340"/>
      <c r="AB4" s="340"/>
      <c r="AC4" s="340"/>
      <c r="AD4" s="340"/>
      <c r="AE4" s="341"/>
      <c r="AF4" s="340"/>
      <c r="AG4" s="340"/>
      <c r="AH4" s="340"/>
      <c r="AI4" s="340"/>
      <c r="AJ4" s="340"/>
      <c r="AK4" s="340"/>
      <c r="AL4" s="340"/>
    </row>
    <row r="5" spans="1:38" ht="18.75">
      <c r="A5" s="348"/>
      <c r="B5" s="349"/>
      <c r="C5" s="349"/>
      <c r="D5" s="349"/>
      <c r="E5" s="349"/>
      <c r="F5" s="350"/>
      <c r="G5" s="349"/>
      <c r="H5" s="349"/>
      <c r="I5" s="349"/>
      <c r="J5" s="349"/>
      <c r="K5" s="349"/>
      <c r="L5" s="349"/>
      <c r="M5" s="351"/>
      <c r="Z5" s="339"/>
      <c r="AA5" s="340"/>
      <c r="AB5" s="340"/>
      <c r="AC5" s="340"/>
      <c r="AD5" s="340"/>
      <c r="AE5" s="341"/>
      <c r="AF5" s="340"/>
      <c r="AG5" s="340"/>
      <c r="AH5" s="340"/>
      <c r="AI5" s="340"/>
      <c r="AJ5" s="340"/>
      <c r="AK5" s="340"/>
      <c r="AL5" s="340"/>
    </row>
    <row r="6" spans="1:38" ht="18.75">
      <c r="A6" s="352" t="s">
        <v>418</v>
      </c>
      <c r="B6" s="353"/>
      <c r="C6" s="353"/>
      <c r="D6" s="353"/>
      <c r="E6" s="353"/>
      <c r="F6" s="354"/>
      <c r="G6" s="353"/>
      <c r="H6" s="353"/>
      <c r="I6" s="353"/>
      <c r="J6" s="355" t="s">
        <v>419</v>
      </c>
      <c r="K6" s="353"/>
      <c r="L6" s="353"/>
      <c r="M6" s="356"/>
      <c r="Z6" s="339"/>
      <c r="AA6" s="340"/>
      <c r="AB6" s="340"/>
      <c r="AC6" s="340"/>
      <c r="AD6" s="340"/>
      <c r="AE6" s="341"/>
      <c r="AF6" s="340"/>
      <c r="AG6" s="340"/>
      <c r="AH6" s="340"/>
      <c r="AI6" s="340"/>
      <c r="AJ6" s="340"/>
      <c r="AK6" s="340"/>
      <c r="AL6" s="340"/>
    </row>
    <row r="7" spans="1:38" ht="18.75">
      <c r="A7" s="357" t="str">
        <f ca="1">'[10]résultats commentaires'!$K$3</f>
        <v>59 victoires et 10 matchs nuls sur 101 rencontres disputées .(68 %)</v>
      </c>
      <c r="B7" s="358"/>
      <c r="C7" s="358"/>
      <c r="D7" s="358"/>
      <c r="E7" s="358"/>
      <c r="F7" s="358"/>
      <c r="G7" s="358"/>
      <c r="H7" s="358"/>
      <c r="I7" s="358"/>
      <c r="J7" s="359"/>
      <c r="K7" s="360"/>
      <c r="L7" s="360"/>
      <c r="M7" s="361"/>
      <c r="Z7" s="362"/>
      <c r="AA7" s="339"/>
      <c r="AB7" s="339"/>
      <c r="AC7" s="339"/>
      <c r="AD7" s="339"/>
      <c r="AE7" s="339"/>
      <c r="AF7" s="339"/>
      <c r="AG7" s="339"/>
      <c r="AH7" s="339"/>
      <c r="AI7" s="339"/>
      <c r="AJ7" s="339"/>
      <c r="AK7" s="339"/>
      <c r="AL7" s="363"/>
    </row>
    <row r="8" spans="1:38" ht="18.75">
      <c r="A8" s="364" t="str">
        <f ca="1">'[10]résultats commentaires'!L4</f>
        <v>748 victoires sur 1305 simples disputés (57,3 %)</v>
      </c>
      <c r="B8" s="365"/>
      <c r="C8" s="365"/>
      <c r="D8" s="365"/>
      <c r="E8" s="365"/>
      <c r="F8" s="365"/>
      <c r="G8" s="365"/>
      <c r="H8" s="365"/>
      <c r="I8" s="365"/>
      <c r="J8" s="366"/>
      <c r="K8" s="366"/>
      <c r="L8" s="366"/>
      <c r="M8" s="367"/>
      <c r="Z8" s="368"/>
      <c r="AA8" s="369"/>
      <c r="AB8" s="369"/>
      <c r="AC8" s="369"/>
      <c r="AD8" s="369"/>
      <c r="AE8" s="369"/>
      <c r="AF8" s="369"/>
      <c r="AG8" s="369"/>
      <c r="AH8" s="369"/>
      <c r="AI8" s="369"/>
      <c r="AJ8" s="369"/>
      <c r="AK8" s="369"/>
      <c r="AL8" s="363"/>
    </row>
    <row r="9" spans="1:38" ht="18.75">
      <c r="A9" s="364" t="str">
        <f ca="1">'[10]résultats commentaires'!L5</f>
        <v>94 doubles gagnés sur 190 disputés (49,5 %)</v>
      </c>
      <c r="B9" s="365"/>
      <c r="C9" s="365"/>
      <c r="D9" s="365"/>
      <c r="E9" s="365"/>
      <c r="F9" s="365"/>
      <c r="G9" s="365"/>
      <c r="H9" s="365"/>
      <c r="I9" s="365"/>
      <c r="J9" s="366"/>
      <c r="K9" s="366"/>
      <c r="L9" s="366"/>
      <c r="M9" s="367"/>
      <c r="Z9" s="368"/>
      <c r="AA9" s="369"/>
      <c r="AB9" s="369"/>
      <c r="AC9" s="369"/>
      <c r="AD9" s="369"/>
      <c r="AE9" s="369"/>
      <c r="AF9" s="369"/>
      <c r="AG9" s="369"/>
      <c r="AH9" s="369"/>
      <c r="AI9" s="369"/>
      <c r="AJ9" s="369"/>
      <c r="AK9" s="369"/>
      <c r="AL9" s="363"/>
    </row>
    <row r="10" spans="1:38" ht="18.75">
      <c r="A10" s="1262" t="str">
        <f ca="1">'[10]résultats commentaires'!L7&amp;Q185&amp;" "&amp;Q186&amp;" "&amp;Q187&amp;" "&amp;Q188&amp;" "&amp;Q189&amp;" "&amp;Q190&amp;" "&amp;Q191&amp;" "&amp;Q192&amp;" "&amp;Q193&amp;Q194&amp;"…"</f>
        <v>4 joueurs ont disputé toutes les journées.Léa M. Emmanuel M. Jérémy N. Luc B.     …</v>
      </c>
      <c r="B10" s="1263"/>
      <c r="C10" s="1263"/>
      <c r="D10" s="1263"/>
      <c r="E10" s="1263"/>
      <c r="F10" s="1263"/>
      <c r="G10" s="1263"/>
      <c r="H10" s="1263"/>
      <c r="I10" s="1264"/>
      <c r="J10" s="1263"/>
      <c r="K10" s="1263"/>
      <c r="L10" s="1263"/>
      <c r="M10" s="1265"/>
      <c r="Z10" s="368"/>
      <c r="AA10" s="369"/>
      <c r="AB10" s="369"/>
      <c r="AC10" s="369"/>
      <c r="AD10" s="369"/>
      <c r="AE10" s="369"/>
      <c r="AF10" s="369"/>
      <c r="AG10" s="369"/>
      <c r="AH10" s="369"/>
      <c r="AI10" s="369"/>
      <c r="AJ10" s="369"/>
      <c r="AK10" s="369"/>
      <c r="AL10" s="363"/>
    </row>
    <row r="11" spans="1:38" ht="18.75">
      <c r="A11" s="364" t="str">
        <f>'[10]résultats commentaires'!L8</f>
        <v>42 joueurs ont participé au moins à une rencontre.</v>
      </c>
      <c r="B11" s="365"/>
      <c r="C11" s="365"/>
      <c r="D11" s="365"/>
      <c r="E11" s="365"/>
      <c r="F11" s="365"/>
      <c r="G11" s="365"/>
      <c r="H11" s="370"/>
      <c r="I11" s="365"/>
      <c r="J11" s="365"/>
      <c r="K11" s="365"/>
      <c r="L11" s="365"/>
      <c r="M11" s="371"/>
      <c r="Z11" s="368"/>
      <c r="AA11" s="369"/>
      <c r="AB11" s="369"/>
      <c r="AC11" s="369"/>
      <c r="AD11" s="369"/>
      <c r="AE11" s="369"/>
      <c r="AF11" s="369"/>
      <c r="AG11" s="372"/>
      <c r="AH11" s="369"/>
      <c r="AI11" s="369"/>
      <c r="AJ11" s="369"/>
      <c r="AK11" s="369"/>
      <c r="AL11" s="363"/>
    </row>
    <row r="12" spans="1:38" ht="18.75">
      <c r="A12" s="373"/>
      <c r="B12" s="374" t="str">
        <f>'[10]résultats commentaires'!K14</f>
        <v>Phase 1:</v>
      </c>
      <c r="C12" s="375"/>
      <c r="D12" s="375"/>
      <c r="E12" s="376"/>
      <c r="F12" s="377" t="str">
        <f>'[10]résultats commentaires'!N14</f>
        <v>Phase 2 :</v>
      </c>
      <c r="G12" s="365"/>
      <c r="H12" s="365"/>
      <c r="I12" s="378" t="str">
        <f>'[10]résultats commentaires'!K18</f>
        <v>Global :</v>
      </c>
      <c r="J12" s="365"/>
      <c r="K12" s="365"/>
      <c r="L12" s="365"/>
      <c r="M12" s="379"/>
      <c r="Z12" s="380"/>
      <c r="AA12" s="381"/>
      <c r="AB12" s="369"/>
      <c r="AC12" s="369"/>
      <c r="AD12" s="369"/>
      <c r="AE12" s="369"/>
      <c r="AF12" s="369"/>
      <c r="AG12" s="369"/>
      <c r="AH12" s="1266"/>
      <c r="AI12" s="1267"/>
      <c r="AJ12" s="1267"/>
      <c r="AK12" s="1267"/>
      <c r="AL12" s="1267"/>
    </row>
    <row r="13" spans="1:38" s="393" customFormat="1" ht="18.75">
      <c r="A13" s="382">
        <f ca="1">'[10]résultats commentaires'!K15</f>
        <v>1.0000098008218024</v>
      </c>
      <c r="B13" s="383" t="str">
        <f ca="1">'[10]résultats commentaires'!L15</f>
        <v>Bousseau Yannick</v>
      </c>
      <c r="C13" s="384"/>
      <c r="D13" s="385"/>
      <c r="E13" s="386">
        <f ca="1">'[10]résultats commentaires'!M15</f>
        <v>1.0000001421551024</v>
      </c>
      <c r="F13" s="387" t="str">
        <f ca="1">'[10]résultats commentaires'!N15</f>
        <v>Brient Jean-François</v>
      </c>
      <c r="G13" s="388"/>
      <c r="H13" s="389">
        <f ca="1">IF(F13="","",LARGE([10]résultats!$AN$2:$AN$50,1))</f>
        <v>1.0000050817197765</v>
      </c>
      <c r="I13" s="390" t="str">
        <f ca="1">'[10]résultats commentaires'!L18</f>
        <v>Brient Jean-François</v>
      </c>
      <c r="J13" s="391"/>
      <c r="K13" s="391"/>
      <c r="L13" s="391"/>
      <c r="M13" s="392"/>
      <c r="Z13" s="394"/>
      <c r="AA13" s="395"/>
      <c r="AB13" s="396"/>
      <c r="AC13" s="396"/>
      <c r="AD13" s="369"/>
      <c r="AE13" s="369"/>
      <c r="AF13" s="369"/>
      <c r="AG13" s="369"/>
      <c r="AH13" s="1267"/>
      <c r="AI13" s="1267"/>
      <c r="AJ13" s="1267"/>
      <c r="AK13" s="1267"/>
      <c r="AL13" s="1267"/>
    </row>
    <row r="14" spans="1:38" s="393" customFormat="1" ht="18.75">
      <c r="A14" s="397">
        <f ca="1">'[10]résultats commentaires'!K16</f>
        <v>1.0000069799952187</v>
      </c>
      <c r="B14" s="398" t="str">
        <f ca="1">'[10]résultats commentaires'!L16</f>
        <v>Zaragoza José</v>
      </c>
      <c r="C14" s="399"/>
      <c r="D14" s="400"/>
      <c r="E14" s="401">
        <f ca="1">'[10]résultats commentaires'!M16</f>
        <v>0.94445173013348094</v>
      </c>
      <c r="F14" s="402" t="str">
        <f ca="1">'[10]résultats commentaires'!N16</f>
        <v>Roszak Clément</v>
      </c>
      <c r="G14" s="403"/>
      <c r="H14" s="404">
        <f ca="1">IF(H13="","",LARGE([10]résultats!$AN$2:$AN$50,2))</f>
        <v>0.91667425084735354</v>
      </c>
      <c r="I14" s="405" t="str">
        <f ca="1">'[10]résultats commentaires'!L19</f>
        <v>Zaragoza José</v>
      </c>
      <c r="J14" s="406"/>
      <c r="K14" s="406"/>
      <c r="L14" s="406"/>
      <c r="M14" s="407"/>
      <c r="Z14" s="408"/>
      <c r="AA14" s="380"/>
      <c r="AB14" s="369"/>
      <c r="AC14" s="369"/>
      <c r="AD14" s="369"/>
      <c r="AE14" s="369"/>
      <c r="AF14" s="369"/>
      <c r="AG14" s="369"/>
      <c r="AH14" s="369"/>
      <c r="AI14" s="369"/>
      <c r="AJ14" s="369"/>
      <c r="AK14" s="369"/>
      <c r="AL14" s="409"/>
    </row>
    <row r="15" spans="1:38" s="393" customFormat="1" ht="18.75">
      <c r="A15" s="397">
        <f ca="1">'[10]résultats commentaires'!K17</f>
        <v>1.0000042725449085</v>
      </c>
      <c r="B15" s="410" t="str">
        <f ca="1">'[10]résultats commentaires'!L17</f>
        <v>Brient Jean-François</v>
      </c>
      <c r="C15" s="399"/>
      <c r="D15" s="400"/>
      <c r="E15" s="401">
        <f ca="1">'[10]résultats commentaires'!M17</f>
        <v>0.91666701951497476</v>
      </c>
      <c r="F15" s="402" t="str">
        <f ca="1">'[10]résultats commentaires'!N17</f>
        <v>Faulkner Thierry</v>
      </c>
      <c r="G15" s="403"/>
      <c r="H15" s="404">
        <f ca="1">IF(H14="","",LARGE([10]résultats!$AN$2:$AN$50,3))</f>
        <v>0.85185795645735718</v>
      </c>
      <c r="I15" s="405" t="str">
        <f ca="1">'[10]résultats commentaires'!L20</f>
        <v>Flégeau Matthieu</v>
      </c>
      <c r="J15" s="406"/>
      <c r="K15" s="406"/>
      <c r="L15" s="406"/>
      <c r="M15" s="407"/>
      <c r="Z15" s="408"/>
      <c r="AA15" s="380"/>
      <c r="AB15" s="369"/>
      <c r="AC15" s="369"/>
      <c r="AD15" s="369"/>
      <c r="AE15" s="369"/>
      <c r="AF15" s="369"/>
      <c r="AG15" s="369"/>
      <c r="AH15" s="369"/>
      <c r="AI15" s="369"/>
      <c r="AJ15" s="369"/>
      <c r="AK15" s="369"/>
      <c r="AL15" s="409"/>
    </row>
    <row r="16" spans="1:38" s="418" customFormat="1" ht="17.25" customHeight="1">
      <c r="A16" s="411" t="s">
        <v>420</v>
      </c>
      <c r="B16" s="412"/>
      <c r="C16" s="413"/>
      <c r="D16" s="413"/>
      <c r="E16" s="414"/>
      <c r="F16" s="415"/>
      <c r="G16" s="415"/>
      <c r="H16" s="416"/>
      <c r="I16" s="415"/>
      <c r="J16" s="415"/>
      <c r="K16" s="415"/>
      <c r="L16" s="415"/>
      <c r="M16" s="417"/>
      <c r="N16" s="418" t="s">
        <v>421</v>
      </c>
      <c r="O16" s="419" t="s">
        <v>422</v>
      </c>
      <c r="P16" s="419">
        <f ca="1">MONTH(TODAY())</f>
        <v>6</v>
      </c>
      <c r="Q16" s="418" t="s">
        <v>423</v>
      </c>
      <c r="R16" s="418" t="s">
        <v>424</v>
      </c>
      <c r="S16" s="418" t="s">
        <v>425</v>
      </c>
      <c r="T16" s="420" t="s">
        <v>426</v>
      </c>
      <c r="U16" s="420" t="s">
        <v>427</v>
      </c>
      <c r="V16" s="420" t="s">
        <v>428</v>
      </c>
      <c r="W16" s="420" t="s">
        <v>429</v>
      </c>
      <c r="X16" s="420" t="s">
        <v>430</v>
      </c>
      <c r="Y16" s="420" t="s">
        <v>173</v>
      </c>
      <c r="Z16" s="421"/>
      <c r="AA16" s="421"/>
      <c r="AB16" s="421"/>
      <c r="AC16" s="421"/>
      <c r="AD16" s="369"/>
      <c r="AE16" s="369"/>
      <c r="AF16" s="369"/>
      <c r="AG16" s="369"/>
      <c r="AH16" s="369"/>
      <c r="AI16" s="369"/>
      <c r="AJ16" s="369"/>
      <c r="AK16" s="369"/>
      <c r="AL16" s="409"/>
    </row>
    <row r="17" spans="1:38" s="429" customFormat="1" ht="15" customHeight="1">
      <c r="A17" s="422" t="s">
        <v>431</v>
      </c>
      <c r="B17" s="423" t="s">
        <v>15</v>
      </c>
      <c r="C17" s="423" t="s">
        <v>348</v>
      </c>
      <c r="D17" s="424" t="s">
        <v>432</v>
      </c>
      <c r="E17" s="425" t="s">
        <v>17</v>
      </c>
      <c r="F17" s="426" t="str">
        <f ca="1">P17</f>
        <v>MTT 1: R2   C</v>
      </c>
      <c r="G17" s="427" t="s">
        <v>172</v>
      </c>
      <c r="H17" s="427" t="s">
        <v>433</v>
      </c>
      <c r="I17" s="428" t="s">
        <v>397</v>
      </c>
      <c r="J17" s="428" t="s">
        <v>174</v>
      </c>
      <c r="K17" s="428" t="s">
        <v>175</v>
      </c>
      <c r="L17" s="428" t="s">
        <v>176</v>
      </c>
      <c r="M17" s="428" t="s">
        <v>177</v>
      </c>
      <c r="N17" s="429" t="str">
        <f>[10]équipes!$A$14</f>
        <v>Muzillac TT 1</v>
      </c>
      <c r="O17" s="429" t="str">
        <f>[10]équipes!$B$14</f>
        <v>MTT 1:</v>
      </c>
      <c r="P17" s="429" t="str">
        <f ca="1">IF(P$16&gt;6,O17&amp;" "&amp;Q17&amp;"   "&amp;S17,O17&amp;" "&amp;R17&amp;"   "&amp;S17)</f>
        <v>MTT 1: R2   C</v>
      </c>
      <c r="Q17" s="429" t="str">
        <f>[10]équipes!$C$14</f>
        <v>R3</v>
      </c>
      <c r="R17" s="429" t="str">
        <f>[10]équipes!$D$14</f>
        <v>R2</v>
      </c>
      <c r="S17" s="429" t="str">
        <f>[10]équipes!$F$14</f>
        <v>C</v>
      </c>
      <c r="T17" s="430">
        <f>'[10]résultats des équipes'!E150</f>
        <v>7</v>
      </c>
      <c r="U17" s="430">
        <f>'[10]résultats des équipes'!F150</f>
        <v>6</v>
      </c>
      <c r="V17" s="430">
        <f>'[10]résultats des équipes'!G150</f>
        <v>13</v>
      </c>
      <c r="W17" s="431">
        <f>'[10]résultats des équipes'!H150</f>
        <v>7</v>
      </c>
      <c r="X17" s="431">
        <f>'[10]résultats des équipes'!I150</f>
        <v>5</v>
      </c>
      <c r="Y17" s="431">
        <f>'[10]résultats des équipes'!J150</f>
        <v>12</v>
      </c>
      <c r="Z17" s="432"/>
      <c r="AA17" s="433"/>
      <c r="AB17" s="433"/>
      <c r="AC17" s="434"/>
      <c r="AD17" s="435"/>
      <c r="AE17" s="436"/>
      <c r="AF17" s="437"/>
      <c r="AG17" s="437"/>
      <c r="AH17" s="438"/>
      <c r="AI17" s="438"/>
      <c r="AJ17" s="438"/>
      <c r="AK17" s="438"/>
      <c r="AL17" s="438"/>
    </row>
    <row r="18" spans="1:38" s="429" customFormat="1" ht="15" customHeight="1">
      <c r="A18" s="439" t="str">
        <f ca="1">[10]résultats!$B$82</f>
        <v>Brient Jean-François</v>
      </c>
      <c r="B18" s="439">
        <f ca="1">[10]résultats!$D$82</f>
        <v>18</v>
      </c>
      <c r="C18" s="439">
        <f ca="1">[10]résultats!$E$82</f>
        <v>18</v>
      </c>
      <c r="D18" s="440">
        <f t="shared" ref="D18:D26" ca="1" si="0">IF(C18="","",B18/C18)</f>
        <v>1</v>
      </c>
      <c r="E18" s="441">
        <f>'[10]résultats commentaires'!B38</f>
        <v>1</v>
      </c>
      <c r="F18" s="442" t="str">
        <f ca="1">'[10]résultats commentaires'!C38</f>
        <v>AC PLERIN 3</v>
      </c>
      <c r="G18" s="443">
        <f ca="1">'[10]résultats commentaires'!D38</f>
        <v>21.000096948836568</v>
      </c>
      <c r="H18" s="444">
        <f ca="1">'[10]résultats commentaires'!E38</f>
        <v>7</v>
      </c>
      <c r="I18" s="444">
        <f ca="1">'[10]résultats commentaires'!F38</f>
        <v>7</v>
      </c>
      <c r="J18" s="444">
        <f ca="1">'[10]résultats commentaires'!G38</f>
        <v>0</v>
      </c>
      <c r="K18" s="444">
        <f ca="1">'[10]résultats commentaires'!H38</f>
        <v>0</v>
      </c>
      <c r="L18" s="444">
        <f ca="1">'[10]résultats commentaires'!I38</f>
        <v>77</v>
      </c>
      <c r="M18" s="444">
        <f ca="1">'[10]résultats commentaires'!J38</f>
        <v>21</v>
      </c>
      <c r="N18" s="429" t="str">
        <f>[10]équipes!$A$15</f>
        <v>Muzillac TT 2</v>
      </c>
      <c r="O18" s="429" t="str">
        <f>[10]équipes!$B$15</f>
        <v>MTT 2:</v>
      </c>
      <c r="P18" s="429" t="str">
        <f t="shared" ref="P18:P27" ca="1" si="1">IF(P$16&gt;6,O18&amp;" "&amp;Q18&amp;"   "&amp;S18,O18&amp;" "&amp;R18&amp;"   "&amp;S18)</f>
        <v>MTT 2: D1   C</v>
      </c>
      <c r="Q18" s="429" t="str">
        <f>[10]équipes!$C$15</f>
        <v>D2</v>
      </c>
      <c r="R18" s="429" t="str">
        <f>[10]équipes!$D$15</f>
        <v>D1</v>
      </c>
      <c r="S18" s="429" t="str">
        <f>[10]équipes!$F$15</f>
        <v>C</v>
      </c>
      <c r="T18" s="430">
        <f>'[10]résultats des équipes'!K150</f>
        <v>5</v>
      </c>
      <c r="U18" s="430">
        <f>'[10]résultats des équipes'!L150</f>
        <v>7</v>
      </c>
      <c r="V18" s="430">
        <f>'[10]résultats des équipes'!M150</f>
        <v>12</v>
      </c>
      <c r="W18" s="431">
        <f>'[10]résultats des équipes'!N150</f>
        <v>4</v>
      </c>
      <c r="X18" s="431">
        <f>'[10]résultats des équipes'!O150</f>
        <v>5</v>
      </c>
      <c r="Y18" s="431">
        <f>'[10]résultats des équipes'!P150</f>
        <v>9</v>
      </c>
      <c r="Z18" s="445"/>
      <c r="AA18" s="445"/>
      <c r="AB18" s="445"/>
      <c r="AC18" s="446"/>
      <c r="AD18" s="438"/>
      <c r="AE18" s="447"/>
      <c r="AF18" s="448"/>
      <c r="AG18" s="449"/>
      <c r="AH18" s="449"/>
      <c r="AI18" s="449"/>
      <c r="AJ18" s="449"/>
      <c r="AK18" s="449"/>
      <c r="AL18" s="449"/>
    </row>
    <row r="19" spans="1:38" s="429" customFormat="1" ht="15" customHeight="1">
      <c r="A19" s="439" t="str">
        <f ca="1">[10]résultats!$B$83</f>
        <v>Nicolas Jérémy</v>
      </c>
      <c r="B19" s="439">
        <f ca="1">[10]résultats!$D$83</f>
        <v>9</v>
      </c>
      <c r="C19" s="439">
        <f ca="1">[10]résultats!$E$83</f>
        <v>15</v>
      </c>
      <c r="D19" s="440">
        <f t="shared" ca="1" si="0"/>
        <v>0.6</v>
      </c>
      <c r="E19" s="441">
        <f ca="1">'[10]résultats commentaires'!B39</f>
        <v>2</v>
      </c>
      <c r="F19" s="442" t="str">
        <f ca="1">'[10]résultats commentaires'!C39</f>
        <v>MUZILLAC TT 1</v>
      </c>
      <c r="G19" s="443">
        <f ca="1">'[10]résultats commentaires'!D39</f>
        <v>18.000066441992033</v>
      </c>
      <c r="H19" s="444">
        <f ca="1">'[10]résultats commentaires'!E39</f>
        <v>7</v>
      </c>
      <c r="I19" s="444">
        <f ca="1">'[10]résultats commentaires'!F39</f>
        <v>5</v>
      </c>
      <c r="J19" s="444">
        <f ca="1">'[10]résultats commentaires'!G39</f>
        <v>1</v>
      </c>
      <c r="K19" s="444">
        <f ca="1">'[10]résultats commentaires'!H39</f>
        <v>1</v>
      </c>
      <c r="L19" s="444">
        <f ca="1">'[10]résultats commentaires'!I39</f>
        <v>68</v>
      </c>
      <c r="M19" s="444">
        <f ca="1">'[10]résultats commentaires'!J39</f>
        <v>30</v>
      </c>
      <c r="N19" s="429" t="str">
        <f>[10]équipes!$A$16</f>
        <v>Muzillac TT 3</v>
      </c>
      <c r="O19" s="429" t="str">
        <f>[10]équipes!$B$16</f>
        <v>MTT 3:</v>
      </c>
      <c r="P19" s="429" t="str">
        <f t="shared" ca="1" si="1"/>
        <v>MTT 3: D2   E</v>
      </c>
      <c r="Q19" s="429" t="str">
        <f>[10]équipes!$C$16</f>
        <v>D2</v>
      </c>
      <c r="R19" s="429" t="str">
        <f>[10]équipes!$D$16</f>
        <v>D2</v>
      </c>
      <c r="S19" s="429" t="str">
        <f>[10]équipes!$F$16</f>
        <v>E</v>
      </c>
      <c r="T19" s="430">
        <f>'[10]résultats des équipes'!Q150</f>
        <v>7</v>
      </c>
      <c r="U19" s="430">
        <f>'[10]résultats des équipes'!R150</f>
        <v>4</v>
      </c>
      <c r="V19" s="430">
        <f>'[10]résultats des équipes'!S150</f>
        <v>11</v>
      </c>
      <c r="W19" s="431">
        <f>'[10]résultats des équipes'!T150</f>
        <v>7</v>
      </c>
      <c r="X19" s="431">
        <f>'[10]résultats des équipes'!U150</f>
        <v>4</v>
      </c>
      <c r="Y19" s="431">
        <f>'[10]résultats des équipes'!V150</f>
        <v>11</v>
      </c>
      <c r="Z19" s="445"/>
      <c r="AA19" s="445"/>
      <c r="AB19" s="445"/>
      <c r="AC19" s="446"/>
      <c r="AD19" s="438"/>
      <c r="AE19" s="447"/>
      <c r="AF19" s="448"/>
      <c r="AG19" s="449"/>
      <c r="AH19" s="449"/>
      <c r="AI19" s="449"/>
      <c r="AJ19" s="449"/>
      <c r="AK19" s="449"/>
      <c r="AL19" s="449"/>
    </row>
    <row r="20" spans="1:38" s="429" customFormat="1">
      <c r="A20" s="439" t="str">
        <f ca="1">[10]résultats!$B$84</f>
        <v>Couture Nicolas</v>
      </c>
      <c r="B20" s="439">
        <f ca="1">[10]résultats!$D$84</f>
        <v>10</v>
      </c>
      <c r="C20" s="439">
        <f ca="1">[10]résultats!$E$84</f>
        <v>15</v>
      </c>
      <c r="D20" s="440">
        <f t="shared" ca="1" si="0"/>
        <v>0.66666666666666663</v>
      </c>
      <c r="E20" s="441">
        <f ca="1">'[10]résultats commentaires'!B40</f>
        <v>3</v>
      </c>
      <c r="F20" s="442" t="str">
        <f ca="1">'[10]résultats commentaires'!C40</f>
        <v>RENNES TA 3</v>
      </c>
      <c r="G20" s="443">
        <f ca="1">'[10]résultats commentaires'!D40</f>
        <v>16.00001179485697</v>
      </c>
      <c r="H20" s="444">
        <f ca="1">'[10]résultats commentaires'!E40</f>
        <v>7</v>
      </c>
      <c r="I20" s="444">
        <f ca="1">'[10]résultats commentaires'!F40</f>
        <v>3</v>
      </c>
      <c r="J20" s="444">
        <f ca="1">'[10]résultats commentaires'!G40</f>
        <v>3</v>
      </c>
      <c r="K20" s="444">
        <f ca="1">'[10]résultats commentaires'!H40</f>
        <v>1</v>
      </c>
      <c r="L20" s="444">
        <f ca="1">'[10]résultats commentaires'!I40</f>
        <v>49</v>
      </c>
      <c r="M20" s="444">
        <f ca="1">'[10]résultats commentaires'!J40</f>
        <v>49</v>
      </c>
      <c r="N20" s="429" t="str">
        <f>[10]équipes!$A$17</f>
        <v>Muzillac TT 4</v>
      </c>
      <c r="O20" s="429" t="str">
        <f>[10]équipes!$B$17</f>
        <v>MTT 4:</v>
      </c>
      <c r="P20" s="429" t="str">
        <f t="shared" ca="1" si="1"/>
        <v>MTT 4: D2   D</v>
      </c>
      <c r="Q20" s="429" t="str">
        <f>[10]équipes!$C$17</f>
        <v>D2</v>
      </c>
      <c r="R20" s="429" t="str">
        <f>[10]équipes!$D$17</f>
        <v>D2</v>
      </c>
      <c r="S20" s="429" t="str">
        <f>[10]équipes!$F$17</f>
        <v>D</v>
      </c>
      <c r="T20" s="430">
        <f>'[10]résultats des équipes'!W150</f>
        <v>2</v>
      </c>
      <c r="U20" s="430">
        <f>'[10]résultats des équipes'!X150</f>
        <v>3</v>
      </c>
      <c r="V20" s="430">
        <f>'[10]résultats des équipes'!Y150</f>
        <v>5</v>
      </c>
      <c r="W20" s="431">
        <f>'[10]résultats des équipes'!Z150</f>
        <v>1</v>
      </c>
      <c r="X20" s="431">
        <f>'[10]résultats des équipes'!AA150</f>
        <v>2</v>
      </c>
      <c r="Y20" s="431">
        <f>'[10]résultats des équipes'!AB150</f>
        <v>3</v>
      </c>
      <c r="Z20" s="445"/>
      <c r="AA20" s="445"/>
      <c r="AB20" s="445"/>
      <c r="AC20" s="446"/>
      <c r="AD20" s="438"/>
      <c r="AE20" s="447"/>
      <c r="AF20" s="448"/>
      <c r="AG20" s="449"/>
      <c r="AH20" s="449"/>
      <c r="AI20" s="449"/>
      <c r="AJ20" s="449"/>
      <c r="AK20" s="449"/>
      <c r="AL20" s="449"/>
    </row>
    <row r="21" spans="1:38" s="429" customFormat="1">
      <c r="A21" s="439" t="str">
        <f ca="1">[10]résultats!$B$85</f>
        <v>Flégeau Matthieu</v>
      </c>
      <c r="B21" s="439">
        <f ca="1">[10]résultats!$D$85</f>
        <v>10</v>
      </c>
      <c r="C21" s="439">
        <f ca="1">[10]résultats!$E$85</f>
        <v>12</v>
      </c>
      <c r="D21" s="440">
        <f t="shared" ca="1" si="0"/>
        <v>0.83333333333333337</v>
      </c>
      <c r="E21" s="441">
        <f ca="1">'[10]résultats commentaires'!B41</f>
        <v>4</v>
      </c>
      <c r="F21" s="442" t="str">
        <f ca="1">'[10]résultats commentaires'!C41</f>
        <v>LE FOLGOET/LESNEVEN 1</v>
      </c>
      <c r="G21" s="443">
        <f ca="1">'[10]résultats commentaires'!D41</f>
        <v>15.000012378984755</v>
      </c>
      <c r="H21" s="444">
        <f ca="1">'[10]résultats commentaires'!E41</f>
        <v>7</v>
      </c>
      <c r="I21" s="444">
        <f ca="1">'[10]résultats commentaires'!F41</f>
        <v>4</v>
      </c>
      <c r="J21" s="444">
        <f ca="1">'[10]résultats commentaires'!G41</f>
        <v>0</v>
      </c>
      <c r="K21" s="444">
        <f ca="1">'[10]résultats commentaires'!H41</f>
        <v>3</v>
      </c>
      <c r="L21" s="444">
        <f ca="1">'[10]résultats commentaires'!I41</f>
        <v>45</v>
      </c>
      <c r="M21" s="444">
        <f ca="1">'[10]résultats commentaires'!J41</f>
        <v>53</v>
      </c>
      <c r="N21" s="429" t="str">
        <f>[10]équipes!$A$18</f>
        <v>Muzillac TT 5</v>
      </c>
      <c r="O21" s="429" t="str">
        <f>[10]équipes!$B$18</f>
        <v>MTT 5:</v>
      </c>
      <c r="P21" s="429" t="str">
        <f t="shared" ca="1" si="1"/>
        <v>MTT 5: D3   E</v>
      </c>
      <c r="Q21" s="429" t="str">
        <f>[10]équipes!$C$18</f>
        <v>D3</v>
      </c>
      <c r="R21" s="429" t="str">
        <f>[10]équipes!$D$18</f>
        <v>D3</v>
      </c>
      <c r="S21" s="429" t="str">
        <f>[10]équipes!$F$18</f>
        <v>E</v>
      </c>
      <c r="T21" s="430">
        <f>'[10]résultats des équipes'!AC150</f>
        <v>3</v>
      </c>
      <c r="U21" s="430">
        <f>'[10]résultats des équipes'!AD150</f>
        <v>4</v>
      </c>
      <c r="V21" s="430">
        <f>'[10]résultats des équipes'!AE150</f>
        <v>7</v>
      </c>
      <c r="W21" s="431">
        <f>'[10]résultats des équipes'!AF150</f>
        <v>2</v>
      </c>
      <c r="X21" s="431">
        <f>'[10]résultats des équipes'!AG150</f>
        <v>4</v>
      </c>
      <c r="Y21" s="431">
        <f>'[10]résultats des équipes'!AH150</f>
        <v>6</v>
      </c>
      <c r="Z21" s="445"/>
      <c r="AA21" s="445"/>
      <c r="AB21" s="445"/>
      <c r="AC21" s="446"/>
      <c r="AD21" s="438"/>
      <c r="AE21" s="447"/>
      <c r="AF21" s="448"/>
      <c r="AG21" s="449"/>
      <c r="AH21" s="449"/>
      <c r="AI21" s="449"/>
      <c r="AJ21" s="449"/>
      <c r="AK21" s="449"/>
      <c r="AL21" s="449"/>
    </row>
    <row r="22" spans="1:38" s="429" customFormat="1">
      <c r="A22" s="450" t="str">
        <f ca="1">[10]résultats!$B$86</f>
        <v>Beyl Yann</v>
      </c>
      <c r="B22" s="450">
        <f ca="1">[10]résultats!$D$86</f>
        <v>8</v>
      </c>
      <c r="C22" s="450">
        <f ca="1">[10]résultats!$E$86</f>
        <v>12</v>
      </c>
      <c r="D22" s="451">
        <f t="shared" ca="1" si="0"/>
        <v>0.66666666666666663</v>
      </c>
      <c r="E22" s="441">
        <f ca="1">'[10]résultats commentaires'!B42</f>
        <v>5</v>
      </c>
      <c r="F22" s="442" t="str">
        <f ca="1">'[10]résultats commentaires'!C42</f>
        <v>RP FOUESNANT 5</v>
      </c>
      <c r="G22" s="443">
        <f ca="1">'[10]résultats commentaires'!D42</f>
        <v>11.000051023503774</v>
      </c>
      <c r="H22" s="444">
        <f ca="1">'[10]résultats commentaires'!E42</f>
        <v>7</v>
      </c>
      <c r="I22" s="444">
        <f ca="1">'[10]résultats commentaires'!F42</f>
        <v>2</v>
      </c>
      <c r="J22" s="444">
        <f ca="1">'[10]résultats commentaires'!G42</f>
        <v>0</v>
      </c>
      <c r="K22" s="444">
        <f ca="1">'[10]résultats commentaires'!H42</f>
        <v>5</v>
      </c>
      <c r="L22" s="444">
        <f ca="1">'[10]résultats commentaires'!I42</f>
        <v>43</v>
      </c>
      <c r="M22" s="444">
        <f ca="1">'[10]résultats commentaires'!J42</f>
        <v>55</v>
      </c>
      <c r="N22" s="429" t="str">
        <f>[10]équipes!$A$19</f>
        <v>Muzillac TT 6</v>
      </c>
      <c r="O22" s="429" t="str">
        <f>[10]équipes!$B$19</f>
        <v>MTT 6:</v>
      </c>
      <c r="P22" s="429" t="str">
        <f t="shared" ca="1" si="1"/>
        <v>MTT 6: D3   G</v>
      </c>
      <c r="Q22" s="429" t="str">
        <f>[10]équipes!$C$19</f>
        <v>D4</v>
      </c>
      <c r="R22" s="429" t="str">
        <f>[10]équipes!$D$19</f>
        <v>D3</v>
      </c>
      <c r="S22" s="429" t="str">
        <f>[10]équipes!$F$19</f>
        <v>G</v>
      </c>
      <c r="T22" s="430">
        <f>'[10]résultats des équipes'!AI150</f>
        <v>6</v>
      </c>
      <c r="U22" s="430">
        <f>'[10]résultats des équipes'!AJ150</f>
        <v>6</v>
      </c>
      <c r="V22" s="430">
        <f>'[10]résultats des équipes'!AK150</f>
        <v>12</v>
      </c>
      <c r="W22" s="431">
        <f>'[10]résultats des équipes'!AL150</f>
        <v>6</v>
      </c>
      <c r="X22" s="431">
        <f>'[10]résultats des équipes'!AM150</f>
        <v>5</v>
      </c>
      <c r="Y22" s="431">
        <f>'[10]résultats des équipes'!AN150</f>
        <v>11</v>
      </c>
      <c r="Z22" s="445"/>
      <c r="AA22" s="445"/>
      <c r="AB22" s="445"/>
      <c r="AC22" s="446"/>
      <c r="AD22" s="438"/>
      <c r="AE22" s="447"/>
      <c r="AF22" s="448"/>
      <c r="AG22" s="449"/>
      <c r="AH22" s="449"/>
      <c r="AI22" s="449"/>
      <c r="AJ22" s="449"/>
      <c r="AK22" s="449"/>
      <c r="AL22" s="449"/>
    </row>
    <row r="23" spans="1:38" s="429" customFormat="1">
      <c r="A23" s="450" t="str">
        <f ca="1">[10]résultats!$B$87</f>
        <v>Trin Kilian</v>
      </c>
      <c r="B23" s="450">
        <f ca="1">[10]résultats!$D$87</f>
        <v>3</v>
      </c>
      <c r="C23" s="450">
        <f ca="1">[10]résultats!$E$87</f>
        <v>6</v>
      </c>
      <c r="D23" s="451">
        <f t="shared" ca="1" si="0"/>
        <v>0.5</v>
      </c>
      <c r="E23" s="441" t="str">
        <f ca="1">'[10]résultats commentaires'!B43</f>
        <v>-</v>
      </c>
      <c r="F23" s="442" t="str">
        <f ca="1">'[10]résultats commentaires'!C43</f>
        <v>RENNES AVENIR 4</v>
      </c>
      <c r="G23" s="443">
        <f ca="1">'[10]résultats commentaires'!D43</f>
        <v>11.00003133503364</v>
      </c>
      <c r="H23" s="444">
        <f ca="1">'[10]résultats commentaires'!E43</f>
        <v>7</v>
      </c>
      <c r="I23" s="444">
        <f ca="1">'[10]résultats commentaires'!F43</f>
        <v>1</v>
      </c>
      <c r="J23" s="444">
        <f ca="1">'[10]résultats commentaires'!G43</f>
        <v>2</v>
      </c>
      <c r="K23" s="444">
        <f ca="1">'[10]résultats commentaires'!H43</f>
        <v>4</v>
      </c>
      <c r="L23" s="444">
        <f ca="1">'[10]résultats commentaires'!I43</f>
        <v>39</v>
      </c>
      <c r="M23" s="444">
        <f ca="1">'[10]résultats commentaires'!J43</f>
        <v>59</v>
      </c>
      <c r="N23" s="429" t="str">
        <f>[10]équipes!$A$20</f>
        <v>Muzillac TT 7</v>
      </c>
      <c r="O23" s="429" t="str">
        <f>[10]équipes!$B$20</f>
        <v>MTT 7:</v>
      </c>
      <c r="P23" s="429" t="str">
        <f t="shared" ca="1" si="1"/>
        <v>MTT 7: D3   F</v>
      </c>
      <c r="Q23" s="429" t="str">
        <f>[10]équipes!$C$20</f>
        <v>D4</v>
      </c>
      <c r="R23" s="429" t="str">
        <f>[10]équipes!$D$20</f>
        <v>D3</v>
      </c>
      <c r="S23" s="429" t="str">
        <f>[10]équipes!$F$20</f>
        <v>F</v>
      </c>
      <c r="T23" s="430">
        <f>'[10]résultats des équipes'!AO150</f>
        <v>6</v>
      </c>
      <c r="U23" s="430">
        <f>'[10]résultats des équipes'!AP150</f>
        <v>1</v>
      </c>
      <c r="V23" s="430">
        <f>'[10]résultats des équipes'!AQ150</f>
        <v>7</v>
      </c>
      <c r="W23" s="431">
        <f>'[10]résultats des équipes'!AR150</f>
        <v>6</v>
      </c>
      <c r="X23" s="431">
        <f>'[10]résultats des équipes'!AS150</f>
        <v>0</v>
      </c>
      <c r="Y23" s="431">
        <f>'[10]résultats des équipes'!AT150</f>
        <v>6</v>
      </c>
      <c r="Z23" s="445"/>
      <c r="AA23" s="445"/>
      <c r="AB23" s="445"/>
      <c r="AC23" s="446"/>
      <c r="AD23" s="452"/>
      <c r="AE23" s="453"/>
      <c r="AF23" s="454"/>
      <c r="AG23" s="455"/>
      <c r="AH23" s="455"/>
      <c r="AI23" s="455"/>
      <c r="AJ23" s="455"/>
      <c r="AK23" s="455"/>
      <c r="AL23" s="455"/>
    </row>
    <row r="24" spans="1:38" s="429" customFormat="1">
      <c r="A24" s="450" t="str">
        <f ca="1">[10]résultats!$B$88</f>
        <v>Roszak Clément</v>
      </c>
      <c r="B24" s="450">
        <f ca="1">[10]résultats!$D$88</f>
        <v>2</v>
      </c>
      <c r="C24" s="450">
        <f ca="1">[10]résultats!$E$88</f>
        <v>3</v>
      </c>
      <c r="D24" s="451">
        <f t="shared" ca="1" si="0"/>
        <v>0.66666666666666663</v>
      </c>
      <c r="E24" s="441" t="str">
        <f ca="1">'[10]résultats commentaires'!B44</f>
        <v>-</v>
      </c>
      <c r="F24" s="442" t="str">
        <f ca="1">'[10]résultats commentaires'!C44</f>
        <v>TT LA BAIE YFFINIAC 1</v>
      </c>
      <c r="G24" s="443">
        <f ca="1">'[10]résultats commentaires'!D44</f>
        <v>11.000003530640576</v>
      </c>
      <c r="H24" s="444">
        <f ca="1">'[10]résultats commentaires'!E44</f>
        <v>7</v>
      </c>
      <c r="I24" s="444">
        <f ca="1">'[10]résultats commentaires'!F44</f>
        <v>1</v>
      </c>
      <c r="J24" s="444">
        <f ca="1">'[10]résultats commentaires'!G44</f>
        <v>2</v>
      </c>
      <c r="K24" s="444">
        <f ca="1">'[10]résultats commentaires'!H44</f>
        <v>4</v>
      </c>
      <c r="L24" s="444">
        <f ca="1">'[10]résultats commentaires'!I44</f>
        <v>37</v>
      </c>
      <c r="M24" s="444">
        <f ca="1">'[10]résultats commentaires'!J44</f>
        <v>61</v>
      </c>
      <c r="N24" s="429" t="str">
        <f>[10]équipes!$A$21</f>
        <v>Muzillac TT 8</v>
      </c>
      <c r="O24" s="429" t="str">
        <f>[10]équipes!$B$21</f>
        <v>MTT 8:</v>
      </c>
      <c r="P24" s="429" t="str">
        <f t="shared" ca="1" si="1"/>
        <v>MTT 8: D4   G</v>
      </c>
      <c r="Q24" s="429" t="str">
        <f>[10]équipes!$C$21</f>
        <v>D4</v>
      </c>
      <c r="R24" s="429" t="str">
        <f>[10]équipes!$D$21</f>
        <v>D4</v>
      </c>
      <c r="S24" s="429" t="str">
        <f>[10]équipes!$F$21</f>
        <v>G</v>
      </c>
      <c r="T24" s="430">
        <f>'[10]résultats des équipes'!AU150</f>
        <v>0</v>
      </c>
      <c r="U24" s="430">
        <f>'[10]résultats des équipes'!AV150</f>
        <v>2</v>
      </c>
      <c r="V24" s="430">
        <f>'[10]résultats des équipes'!AW150</f>
        <v>2</v>
      </c>
      <c r="W24" s="431">
        <f>'[10]résultats des équipes'!AX150</f>
        <v>0</v>
      </c>
      <c r="X24" s="431">
        <f>'[10]résultats des équipes'!AY150</f>
        <v>1</v>
      </c>
      <c r="Y24" s="431">
        <f>'[10]résultats des équipes'!AZ150</f>
        <v>1</v>
      </c>
      <c r="Z24" s="456"/>
      <c r="AA24" s="456"/>
      <c r="AB24" s="456"/>
      <c r="AC24" s="457"/>
      <c r="AD24" s="438"/>
      <c r="AE24" s="447"/>
      <c r="AF24" s="448"/>
      <c r="AG24" s="449"/>
      <c r="AH24" s="449"/>
      <c r="AI24" s="449"/>
      <c r="AJ24" s="449"/>
      <c r="AK24" s="449"/>
      <c r="AL24" s="449"/>
    </row>
    <row r="25" spans="1:38" s="429" customFormat="1">
      <c r="A25" s="450" t="str">
        <f ca="1">[10]résultats!$B$89</f>
        <v>Morin Quentin</v>
      </c>
      <c r="B25" s="450">
        <f ca="1">[10]résultats!$D$89</f>
        <v>0</v>
      </c>
      <c r="C25" s="450">
        <f ca="1">[10]résultats!$E$89</f>
        <v>3</v>
      </c>
      <c r="D25" s="451">
        <f t="shared" ca="1" si="0"/>
        <v>0</v>
      </c>
      <c r="E25" s="441">
        <f ca="1">'[10]résultats commentaires'!B45</f>
        <v>7</v>
      </c>
      <c r="F25" s="442" t="str">
        <f ca="1">'[10]résultats commentaires'!C45</f>
        <v>CPB RENNES RAPATEL 2</v>
      </c>
      <c r="G25" s="443">
        <f ca="1">'[10]résultats commentaires'!D45</f>
        <v>9.0000330260242425</v>
      </c>
      <c r="H25" s="444">
        <f ca="1">'[10]résultats commentaires'!E45</f>
        <v>7</v>
      </c>
      <c r="I25" s="444">
        <f ca="1">'[10]résultats commentaires'!F45</f>
        <v>0</v>
      </c>
      <c r="J25" s="444">
        <f ca="1">'[10]résultats commentaires'!G45</f>
        <v>2</v>
      </c>
      <c r="K25" s="444">
        <f ca="1">'[10]résultats commentaires'!H45</f>
        <v>5</v>
      </c>
      <c r="L25" s="444">
        <f ca="1">'[10]résultats commentaires'!I45</f>
        <v>34</v>
      </c>
      <c r="M25" s="444">
        <f ca="1">'[10]résultats commentaires'!J45</f>
        <v>64</v>
      </c>
      <c r="N25" s="429" t="str">
        <f>[10]équipes!$A$26</f>
        <v>Muzillac TT 1</v>
      </c>
      <c r="O25" s="429" t="str">
        <f>[10]équipes!$B$26</f>
        <v>MTT 1:</v>
      </c>
      <c r="P25" s="429" t="str">
        <f t="shared" ca="1" si="1"/>
        <v>MTT 1: 0   0</v>
      </c>
      <c r="Q25" s="429" t="str">
        <f>[10]équipes!$C$26</f>
        <v>cadet</v>
      </c>
      <c r="R25" s="429">
        <f>[10]équipes!$D$26</f>
        <v>0</v>
      </c>
      <c r="S25" s="429">
        <f>[10]équipes!$F$26</f>
        <v>0</v>
      </c>
      <c r="Z25" s="456"/>
      <c r="AA25" s="456"/>
      <c r="AB25" s="456"/>
      <c r="AC25" s="457"/>
      <c r="AD25" s="438"/>
      <c r="AE25" s="447"/>
      <c r="AF25" s="448"/>
      <c r="AG25" s="449"/>
      <c r="AH25" s="449"/>
      <c r="AI25" s="449"/>
      <c r="AJ25" s="449"/>
      <c r="AK25" s="449"/>
      <c r="AL25" s="449"/>
    </row>
    <row r="26" spans="1:38" s="429" customFormat="1">
      <c r="A26" s="450" t="str">
        <f ca="1">[10]résultats!$B$90</f>
        <v/>
      </c>
      <c r="B26" s="450" t="str">
        <f ca="1">[10]résultats!$D$90</f>
        <v/>
      </c>
      <c r="C26" s="450" t="str">
        <f ca="1">[10]résultats!$E$90</f>
        <v/>
      </c>
      <c r="D26" s="451" t="str">
        <f t="shared" ca="1" si="0"/>
        <v/>
      </c>
      <c r="E26" s="458" t="str">
        <f ca="1">[10]équipes!A4&amp;" en fin de phase contre "</f>
        <v xml:space="preserve">28 ans et 1778 pts de moy. en fin de phase contre </v>
      </c>
      <c r="F26" s="459"/>
      <c r="G26" s="459"/>
      <c r="H26" s="459"/>
      <c r="I26" s="459"/>
      <c r="J26" s="459"/>
      <c r="K26" s="459"/>
      <c r="L26" s="459"/>
      <c r="M26" s="351"/>
      <c r="N26" s="429" t="str">
        <f>[10]équipes!$A$27</f>
        <v/>
      </c>
      <c r="O26" s="429">
        <f>[10]équipes!$B$27</f>
        <v>0</v>
      </c>
      <c r="P26" s="429" t="str">
        <f t="shared" ca="1" si="1"/>
        <v>0 0   0</v>
      </c>
      <c r="Q26" s="429">
        <f>[10]équipes!$C$27</f>
        <v>0</v>
      </c>
      <c r="R26" s="429">
        <f>[10]équipes!$D$27</f>
        <v>0</v>
      </c>
      <c r="S26" s="429">
        <f>[10]équipes!$F$27</f>
        <v>0</v>
      </c>
      <c r="Z26" s="456"/>
      <c r="AA26" s="456"/>
      <c r="AB26" s="456"/>
      <c r="AC26" s="457"/>
      <c r="AD26" s="460"/>
      <c r="AE26" s="461"/>
      <c r="AF26" s="1215"/>
      <c r="AG26" s="1216"/>
      <c r="AH26" s="1216"/>
      <c r="AI26" s="1216"/>
      <c r="AJ26" s="1216"/>
      <c r="AK26" s="1216"/>
      <c r="AL26" s="1216"/>
    </row>
    <row r="27" spans="1:38" s="429" customFormat="1">
      <c r="A27" s="450" t="str">
        <f ca="1">[10]résultats!$B$91</f>
        <v/>
      </c>
      <c r="B27" s="450" t="str">
        <f ca="1">[10]résultats!$D$91</f>
        <v/>
      </c>
      <c r="C27" s="450" t="str">
        <f ca="1">[10]résultats!$E$91</f>
        <v/>
      </c>
      <c r="D27" s="451" t="str">
        <f ca="1">IF(C27="","",B27/C27)</f>
        <v/>
      </c>
      <c r="E27" s="462" t="str">
        <f ca="1">ROUND(SUM('[10]résultats commentaires'!K25:K33)/COUNT('[10]résultats commentaires'!K25:K33),0)&amp; " points de moyenne en début de phase."</f>
        <v>1721 points de moyenne en début de phase.</v>
      </c>
      <c r="F27" s="463"/>
      <c r="G27" s="463"/>
      <c r="H27" s="463"/>
      <c r="I27" s="463"/>
      <c r="J27" s="464" t="s">
        <v>434</v>
      </c>
      <c r="K27" s="463"/>
      <c r="L27" s="463"/>
      <c r="M27" s="465"/>
      <c r="N27" s="429" t="str">
        <f>[10]équipes!$A$28</f>
        <v/>
      </c>
      <c r="O27" s="429">
        <f>[10]équipes!$B$28</f>
        <v>0</v>
      </c>
      <c r="P27" s="429" t="str">
        <f t="shared" ca="1" si="1"/>
        <v>0 0   0</v>
      </c>
      <c r="Q27" s="429">
        <f>[10]équipes!$C$28</f>
        <v>0</v>
      </c>
      <c r="R27" s="429">
        <f>[10]équipes!$D$28</f>
        <v>0</v>
      </c>
      <c r="S27" s="429">
        <f>[10]équipes!$F$28</f>
        <v>0</v>
      </c>
      <c r="Z27" s="456"/>
      <c r="AA27" s="456"/>
      <c r="AB27" s="456"/>
      <c r="AC27" s="457"/>
      <c r="AD27" s="460"/>
      <c r="AE27" s="461"/>
      <c r="AF27" s="1216"/>
      <c r="AG27" s="1216"/>
      <c r="AH27" s="1216"/>
      <c r="AI27" s="1216"/>
      <c r="AJ27" s="1216"/>
      <c r="AK27" s="1216"/>
      <c r="AL27" s="1216"/>
    </row>
    <row r="28" spans="1:38" s="429" customFormat="1" ht="21" customHeight="1">
      <c r="A28" s="466" t="s">
        <v>435</v>
      </c>
      <c r="B28" s="467">
        <f ca="1">IF([10]résultats!$BD$1&lt;=7,VLOOKUP(N17,F18:M25,7,FALSE)-SUM(B18:B26),VLOOKUP(N17,[10]clt!AW3:BD10,7,FALSE)-SUM(B18:B26))</f>
        <v>8</v>
      </c>
      <c r="C28" s="467">
        <f ca="1">IF([10]résultats!$BD$1&lt;=7,VLOOKUP(N17,F18:H25,3,FALSE)*2,VLOOKUP(N17,[10]clt!AW3:BD10,3,FALSE)*2)</f>
        <v>14</v>
      </c>
      <c r="D28" s="468">
        <f ca="1">IF(C28="","",B28/C28)</f>
        <v>0.5714285714285714</v>
      </c>
      <c r="E28" s="469" t="str">
        <f>IF($F$12="",'[10]résultats des équipes'!F90,'[10]résultats des équipes'!F97)</f>
        <v>Vict 14 - 0</v>
      </c>
      <c r="F28" s="470" t="str">
        <f>IF($F$12="",'[10]résultats des équipes'!H90,'[10]résultats des équipes'!H97)</f>
        <v>CPB RENNES RAPATEL 2</v>
      </c>
      <c r="G28" s="471"/>
      <c r="H28" s="472"/>
      <c r="I28" s="472"/>
      <c r="J28" s="472"/>
      <c r="K28" s="472"/>
      <c r="L28" s="472"/>
      <c r="M28" s="473"/>
      <c r="Z28" s="456"/>
      <c r="AA28" s="456"/>
      <c r="AB28" s="456"/>
      <c r="AC28" s="457"/>
      <c r="AD28" s="474"/>
      <c r="AE28" s="475"/>
      <c r="AF28" s="476"/>
      <c r="AG28" s="477"/>
      <c r="AH28" s="459"/>
      <c r="AI28" s="477"/>
      <c r="AJ28" s="459"/>
      <c r="AK28" s="459"/>
      <c r="AL28" s="340"/>
    </row>
    <row r="29" spans="1:38" s="429" customFormat="1" ht="15" customHeight="1">
      <c r="A29" s="478" t="s">
        <v>156</v>
      </c>
      <c r="B29" s="479">
        <f ca="1">SUM(B18:B28)</f>
        <v>68</v>
      </c>
      <c r="C29" s="479">
        <f ca="1">SUM(C18:C28)</f>
        <v>98</v>
      </c>
      <c r="D29" s="480">
        <f ca="1">IF(C29="","",B29/C29)</f>
        <v>0.69387755102040816</v>
      </c>
      <c r="E29" s="474" t="str">
        <f>IF($F$12="",'[10]résultats des équipes'!F91,'[10]résultats des équipes'!F98)</f>
        <v>Vict 9 - 5</v>
      </c>
      <c r="F29" s="475" t="str">
        <f>IF($F$12="",'[10]résultats des équipes'!H91,'[10]résultats des équipes'!H98)</f>
        <v>TT LA BAIE YFFINIAC 1</v>
      </c>
      <c r="G29" s="471"/>
      <c r="H29" s="472"/>
      <c r="I29" s="472"/>
      <c r="J29" s="472"/>
      <c r="K29" s="472"/>
      <c r="L29" s="472"/>
      <c r="M29" s="473"/>
      <c r="Z29" s="456"/>
      <c r="AA29" s="456"/>
      <c r="AB29" s="456"/>
      <c r="AC29" s="457"/>
      <c r="AD29" s="474"/>
      <c r="AE29" s="475"/>
      <c r="AF29" s="477"/>
      <c r="AG29" s="477"/>
      <c r="AH29" s="459"/>
      <c r="AI29" s="477"/>
      <c r="AJ29" s="459"/>
      <c r="AK29" s="459"/>
      <c r="AL29" s="340"/>
    </row>
    <row r="30" spans="1:38" s="429" customFormat="1" ht="15" customHeight="1">
      <c r="A30" s="1252" t="s">
        <v>436</v>
      </c>
      <c r="B30" s="1253"/>
      <c r="C30" s="1253"/>
      <c r="D30" s="1253"/>
      <c r="E30" s="474" t="str">
        <f>IF($F$12="",'[10]résultats des équipes'!F92,'[10]résultats des équipes'!F99)</f>
        <v>Vict 10 - 4</v>
      </c>
      <c r="F30" s="475" t="str">
        <f>IF($F$12="",'[10]résultats des équipes'!H92,'[10]résultats des équipes'!H99)</f>
        <v>LE FOLGOET/LESNEVEN 1</v>
      </c>
      <c r="G30" s="471"/>
      <c r="H30" s="472"/>
      <c r="I30" s="472"/>
      <c r="J30" s="472"/>
      <c r="K30" s="472"/>
      <c r="L30" s="472"/>
      <c r="M30" s="473"/>
      <c r="Z30" s="456"/>
      <c r="AA30" s="456"/>
      <c r="AB30" s="456"/>
      <c r="AC30" s="457"/>
      <c r="AD30" s="474"/>
      <c r="AE30" s="475"/>
      <c r="AF30" s="477"/>
      <c r="AG30" s="477"/>
      <c r="AH30" s="459"/>
      <c r="AI30" s="477"/>
      <c r="AJ30" s="459"/>
      <c r="AK30" s="459"/>
      <c r="AL30" s="340"/>
    </row>
    <row r="31" spans="1:38" s="429" customFormat="1" ht="15" customHeight="1">
      <c r="A31" s="1254"/>
      <c r="B31" s="1253"/>
      <c r="C31" s="1253"/>
      <c r="D31" s="1253"/>
      <c r="E31" s="474" t="str">
        <f>IF($F$12="",'[10]résultats des équipes'!F93,'[10]résultats des équipes'!F100)</f>
        <v>Déf 8 - 6</v>
      </c>
      <c r="F31" s="475" t="str">
        <f>IF($F$12="",'[10]résultats des équipes'!H93,'[10]résultats des équipes'!H100)</f>
        <v>AC PLERIN 3</v>
      </c>
      <c r="G31" s="471"/>
      <c r="H31"/>
      <c r="I31" s="472"/>
      <c r="J31" s="472"/>
      <c r="K31" s="472"/>
      <c r="L31" s="472"/>
      <c r="M31" s="473"/>
      <c r="Z31" s="481"/>
      <c r="AA31" s="482"/>
      <c r="AB31" s="482"/>
      <c r="AC31" s="483"/>
      <c r="AD31" s="484"/>
      <c r="AE31" s="485"/>
      <c r="AF31" s="477"/>
      <c r="AG31" s="486"/>
      <c r="AH31" s="459"/>
      <c r="AI31" s="487"/>
      <c r="AJ31" s="459"/>
      <c r="AK31" s="459"/>
      <c r="AL31" s="340"/>
    </row>
    <row r="32" spans="1:38" s="429" customFormat="1" ht="15" customHeight="1">
      <c r="A32" s="1254"/>
      <c r="B32" s="1253"/>
      <c r="C32" s="1253"/>
      <c r="D32" s="1253"/>
      <c r="E32" s="474" t="str">
        <f>IF($F$12="",'[10]résultats des équipes'!F94,'[10]résultats des équipes'!F101)</f>
        <v>Nul 7 - 7</v>
      </c>
      <c r="F32" s="475" t="str">
        <f>IF($F$12="",'[10]résultats des équipes'!H94,'[10]résultats des équipes'!H101)</f>
        <v>RENNES TA 3</v>
      </c>
      <c r="G32" s="471"/>
      <c r="H32" s="472"/>
      <c r="I32" s="472"/>
      <c r="J32" s="472"/>
      <c r="K32" s="472"/>
      <c r="L32" s="472"/>
      <c r="M32" s="473"/>
      <c r="Z32" s="488"/>
      <c r="AA32" s="489"/>
      <c r="AB32" s="489"/>
      <c r="AC32" s="490"/>
      <c r="AD32" s="491"/>
      <c r="AE32" s="492"/>
      <c r="AF32" s="459"/>
      <c r="AG32" s="459"/>
      <c r="AH32" s="459"/>
      <c r="AI32" s="459"/>
      <c r="AJ32" s="459"/>
      <c r="AK32" s="459"/>
      <c r="AL32" s="340"/>
    </row>
    <row r="33" spans="1:38" s="429" customFormat="1" ht="15" customHeight="1">
      <c r="A33" s="1254"/>
      <c r="B33" s="1253"/>
      <c r="C33" s="1253"/>
      <c r="D33" s="1253"/>
      <c r="E33" s="484" t="str">
        <f>IF($F$12="",'[10]résultats des équipes'!F95,'[10]résultats des équipes'!F102)</f>
        <v>Vict 12 - 2</v>
      </c>
      <c r="F33" s="485" t="str">
        <f>IF($F$12="",'[10]résultats des équipes'!H95,'[10]résultats des équipes'!H102)</f>
        <v>RENNES AVENIR 4</v>
      </c>
      <c r="G33" s="471"/>
      <c r="H33" s="493"/>
      <c r="I33" s="493"/>
      <c r="J33" s="493"/>
      <c r="K33" s="493"/>
      <c r="L33" s="493"/>
      <c r="M33" s="494"/>
      <c r="Z33" s="495"/>
      <c r="AA33" s="496"/>
      <c r="AB33" s="496"/>
      <c r="AC33" s="497"/>
      <c r="AD33" s="459"/>
      <c r="AE33" s="459"/>
      <c r="AF33" s="459"/>
      <c r="AG33" s="459"/>
      <c r="AH33" s="459"/>
      <c r="AI33" s="459"/>
      <c r="AJ33" s="459"/>
      <c r="AK33" s="459"/>
      <c r="AL33" s="340"/>
    </row>
    <row r="34" spans="1:38" ht="15" customHeight="1">
      <c r="A34" s="1268"/>
      <c r="B34" s="1269"/>
      <c r="C34" s="1269"/>
      <c r="D34" s="1269"/>
      <c r="E34" s="498" t="str">
        <f>IF($F$12="",'[10]résultats des équipes'!F96,'[10]résultats des équipes'!F103)</f>
        <v>Vict 10 - 4</v>
      </c>
      <c r="F34" s="499" t="str">
        <f>IF($F$12="",'[10]résultats des équipes'!H96,'[10]résultats des équipes'!H103)</f>
        <v>RP FOUESNANT 5</v>
      </c>
      <c r="G34" s="500"/>
      <c r="H34" s="501"/>
      <c r="I34" s="501"/>
      <c r="J34" s="501"/>
      <c r="K34" s="501"/>
      <c r="L34" s="501"/>
      <c r="M34" s="502"/>
      <c r="Z34" s="503"/>
      <c r="AA34" s="496"/>
      <c r="AB34" s="496"/>
      <c r="AC34" s="497"/>
      <c r="AD34" s="459"/>
      <c r="AE34" s="459"/>
      <c r="AF34" s="459"/>
      <c r="AG34" s="459"/>
      <c r="AH34" s="459"/>
      <c r="AI34" s="459"/>
      <c r="AJ34" s="459"/>
      <c r="AK34" s="459"/>
      <c r="AL34" s="340"/>
    </row>
    <row r="35" spans="1:38" ht="15" customHeight="1">
      <c r="A35" s="1270"/>
      <c r="B35" s="1271"/>
      <c r="C35" s="1271"/>
      <c r="D35" s="1271"/>
      <c r="E35" s="1271"/>
      <c r="F35" s="1271"/>
      <c r="G35" s="1271"/>
      <c r="H35" s="1271"/>
      <c r="I35" s="1271"/>
      <c r="J35" s="1271"/>
      <c r="K35" s="1271"/>
      <c r="L35" s="1271"/>
      <c r="M35" s="1272"/>
      <c r="Z35" s="1250"/>
      <c r="AA35" s="1277"/>
      <c r="AB35" s="1277"/>
      <c r="AC35" s="1277"/>
      <c r="AD35" s="1277"/>
      <c r="AE35" s="1277"/>
      <c r="AF35" s="1277"/>
      <c r="AG35" s="1277"/>
      <c r="AH35" s="1277"/>
      <c r="AI35" s="1277"/>
      <c r="AJ35" s="1277"/>
      <c r="AK35" s="1277"/>
      <c r="AL35" s="1277"/>
    </row>
    <row r="36" spans="1:38" ht="15" hidden="1" customHeight="1">
      <c r="A36" s="1273"/>
      <c r="B36" s="1271"/>
      <c r="C36" s="1271"/>
      <c r="D36" s="1271"/>
      <c r="E36" s="1271"/>
      <c r="F36" s="1271"/>
      <c r="G36" s="1271"/>
      <c r="H36" s="1271"/>
      <c r="I36" s="1271"/>
      <c r="J36" s="1271"/>
      <c r="K36" s="1271"/>
      <c r="L36" s="1271"/>
      <c r="M36" s="1272"/>
      <c r="Z36" s="1277"/>
      <c r="AA36" s="1277"/>
      <c r="AB36" s="1277"/>
      <c r="AC36" s="1277"/>
      <c r="AD36" s="1277"/>
      <c r="AE36" s="1277"/>
      <c r="AF36" s="1277"/>
      <c r="AG36" s="1277"/>
      <c r="AH36" s="1277"/>
      <c r="AI36" s="1277"/>
      <c r="AJ36" s="1277"/>
      <c r="AK36" s="1277"/>
      <c r="AL36" s="1277"/>
    </row>
    <row r="37" spans="1:38" ht="47.25" hidden="1" customHeight="1" thickBot="1">
      <c r="A37" s="1274"/>
      <c r="B37" s="1275"/>
      <c r="C37" s="1275"/>
      <c r="D37" s="1275"/>
      <c r="E37" s="1275"/>
      <c r="F37" s="1275"/>
      <c r="G37" s="1275"/>
      <c r="H37" s="1275"/>
      <c r="I37" s="1275"/>
      <c r="J37" s="1275"/>
      <c r="K37" s="1275"/>
      <c r="L37" s="1275"/>
      <c r="M37" s="1276"/>
      <c r="N37" s="504">
        <v>6</v>
      </c>
      <c r="O37" s="504">
        <v>6</v>
      </c>
      <c r="P37" s="504">
        <v>0</v>
      </c>
      <c r="Q37" s="504">
        <v>0</v>
      </c>
      <c r="R37" s="504">
        <v>6</v>
      </c>
      <c r="S37" s="504">
        <v>21</v>
      </c>
      <c r="T37" s="505">
        <v>63</v>
      </c>
      <c r="Z37" s="1277"/>
      <c r="AA37" s="1277"/>
      <c r="AB37" s="1277"/>
      <c r="AC37" s="1277"/>
      <c r="AD37" s="1277"/>
      <c r="AE37" s="1277"/>
      <c r="AF37" s="1277"/>
      <c r="AG37" s="1277"/>
      <c r="AH37" s="1277"/>
      <c r="AI37" s="1277"/>
      <c r="AJ37" s="1277"/>
      <c r="AK37" s="1277"/>
      <c r="AL37" s="1277"/>
    </row>
    <row r="38" spans="1:38" ht="15" customHeight="1">
      <c r="A38" s="422" t="s">
        <v>431</v>
      </c>
      <c r="B38" s="423" t="s">
        <v>15</v>
      </c>
      <c r="C38" s="423" t="s">
        <v>348</v>
      </c>
      <c r="D38" s="424" t="s">
        <v>432</v>
      </c>
      <c r="E38" s="425" t="s">
        <v>17</v>
      </c>
      <c r="F38" s="426" t="str">
        <f ca="1">P18</f>
        <v>MTT 2: D1   C</v>
      </c>
      <c r="G38" s="427" t="s">
        <v>172</v>
      </c>
      <c r="H38" s="427" t="s">
        <v>433</v>
      </c>
      <c r="I38" s="428" t="s">
        <v>397</v>
      </c>
      <c r="J38" s="428" t="s">
        <v>174</v>
      </c>
      <c r="K38" s="428" t="s">
        <v>175</v>
      </c>
      <c r="L38" s="428" t="s">
        <v>176</v>
      </c>
      <c r="M38" s="428" t="s">
        <v>177</v>
      </c>
      <c r="Z38" s="1277"/>
      <c r="AA38" s="1277"/>
      <c r="AB38" s="1277"/>
      <c r="AC38" s="1277"/>
      <c r="AD38" s="1277"/>
      <c r="AE38" s="1277"/>
      <c r="AF38" s="1277"/>
      <c r="AG38" s="1277"/>
      <c r="AH38" s="1277"/>
      <c r="AI38" s="1277"/>
      <c r="AJ38" s="1277"/>
      <c r="AK38" s="1277"/>
      <c r="AL38" s="1277"/>
    </row>
    <row r="39" spans="1:38" ht="15" customHeight="1">
      <c r="A39" s="439" t="str">
        <f ca="1">[10]résultats!$I$82</f>
        <v>Roszak Martin</v>
      </c>
      <c r="B39" s="439">
        <f ca="1">[10]résultats!$K$82</f>
        <v>9</v>
      </c>
      <c r="C39" s="439">
        <f ca="1">[10]résultats!$L$82</f>
        <v>21</v>
      </c>
      <c r="D39" s="440">
        <f t="shared" ref="D39:D47" ca="1" si="2">IF(C39="","",B39/C39)</f>
        <v>0.42857142857142855</v>
      </c>
      <c r="E39" s="506">
        <f>'[10]résultats commentaires'!B61</f>
        <v>1</v>
      </c>
      <c r="F39" s="442" t="str">
        <f ca="1">'[10]résultats commentaires'!C61</f>
        <v>MUZILLAC TT 2</v>
      </c>
      <c r="G39" s="443">
        <f ca="1">'[10]résultats commentaires'!D61</f>
        <v>19.000061026416272</v>
      </c>
      <c r="H39" s="444">
        <f ca="1">'[10]résultats commentaires'!E61</f>
        <v>7</v>
      </c>
      <c r="I39" s="444">
        <f ca="1">'[10]résultats commentaires'!F61</f>
        <v>5</v>
      </c>
      <c r="J39" s="444">
        <f ca="1">'[10]résultats commentaires'!G61</f>
        <v>2</v>
      </c>
      <c r="K39" s="444">
        <f ca="1">'[10]résultats commentaires'!H61</f>
        <v>0</v>
      </c>
      <c r="L39" s="444">
        <f ca="1">'[10]résultats commentaires'!I61</f>
        <v>67</v>
      </c>
      <c r="M39" s="444">
        <f ca="1">'[10]résultats commentaires'!J61</f>
        <v>31</v>
      </c>
      <c r="Z39" s="1277"/>
      <c r="AA39" s="1277"/>
      <c r="AB39" s="1277"/>
      <c r="AC39" s="1277"/>
      <c r="AD39" s="1277"/>
      <c r="AE39" s="1277"/>
      <c r="AF39" s="1277"/>
      <c r="AG39" s="1277"/>
      <c r="AH39" s="1277"/>
      <c r="AI39" s="1277"/>
      <c r="AJ39" s="1277"/>
      <c r="AK39" s="1277"/>
      <c r="AL39" s="1277"/>
    </row>
    <row r="40" spans="1:38" ht="17.25">
      <c r="A40" s="439" t="str">
        <f ca="1">[10]résultats!$I$83</f>
        <v>Morin Quentin</v>
      </c>
      <c r="B40" s="439">
        <f ca="1">[10]résultats!$K$83</f>
        <v>6</v>
      </c>
      <c r="C40" s="439">
        <f ca="1">[10]résultats!$L$83</f>
        <v>15</v>
      </c>
      <c r="D40" s="440">
        <f t="shared" ca="1" si="2"/>
        <v>0.4</v>
      </c>
      <c r="E40" s="506">
        <f ca="1">'[10]résultats commentaires'!B62</f>
        <v>2</v>
      </c>
      <c r="F40" s="442" t="str">
        <f ca="1">'[10]résultats commentaires'!C62</f>
        <v>SENE TT 2</v>
      </c>
      <c r="G40" s="443">
        <f ca="1">'[10]résultats commentaires'!D62</f>
        <v>16.000041506174821</v>
      </c>
      <c r="H40" s="444">
        <f ca="1">'[10]résultats commentaires'!E62</f>
        <v>7</v>
      </c>
      <c r="I40" s="444">
        <f ca="1">'[10]résultats commentaires'!F62</f>
        <v>4</v>
      </c>
      <c r="J40" s="444">
        <f ca="1">'[10]résultats commentaires'!G62</f>
        <v>1</v>
      </c>
      <c r="K40" s="444">
        <f ca="1">'[10]résultats commentaires'!H62</f>
        <v>2</v>
      </c>
      <c r="L40" s="444">
        <f ca="1">'[10]résultats commentaires'!I62</f>
        <v>51</v>
      </c>
      <c r="M40" s="444">
        <f ca="1">'[10]résultats commentaires'!J62</f>
        <v>47</v>
      </c>
      <c r="Z40" s="432"/>
      <c r="AA40" s="433"/>
      <c r="AB40" s="433"/>
      <c r="AC40" s="434"/>
      <c r="AD40" s="435"/>
      <c r="AE40" s="436"/>
      <c r="AF40" s="437"/>
      <c r="AG40" s="437"/>
      <c r="AH40" s="438"/>
      <c r="AI40" s="438"/>
      <c r="AJ40" s="438"/>
      <c r="AK40" s="438"/>
      <c r="AL40" s="438"/>
    </row>
    <row r="41" spans="1:38" ht="15" customHeight="1">
      <c r="A41" s="439" t="str">
        <f ca="1">[10]résultats!$I$84</f>
        <v>Roszak Clément</v>
      </c>
      <c r="B41" s="439">
        <f ca="1">[10]résultats!$K$84</f>
        <v>15</v>
      </c>
      <c r="C41" s="439">
        <f ca="1">[10]résultats!$L$84</f>
        <v>15</v>
      </c>
      <c r="D41" s="440">
        <f t="shared" ca="1" si="2"/>
        <v>1</v>
      </c>
      <c r="E41" s="506">
        <f ca="1">'[10]résultats commentaires'!B63</f>
        <v>3</v>
      </c>
      <c r="F41" s="442" t="str">
        <f ca="1">'[10]résultats commentaires'!C63</f>
        <v>L. PLOERMEL 3</v>
      </c>
      <c r="G41" s="443">
        <f ca="1">'[10]résultats commentaires'!D63</f>
        <v>14.000024485938715</v>
      </c>
      <c r="H41" s="444">
        <f ca="1">'[10]résultats commentaires'!E63</f>
        <v>7</v>
      </c>
      <c r="I41" s="444">
        <f ca="1">'[10]résultats commentaires'!F63</f>
        <v>3</v>
      </c>
      <c r="J41" s="444">
        <f ca="1">'[10]résultats commentaires'!G63</f>
        <v>1</v>
      </c>
      <c r="K41" s="444">
        <f ca="1">'[10]résultats commentaires'!H63</f>
        <v>3</v>
      </c>
      <c r="L41" s="444">
        <f ca="1">'[10]résultats commentaires'!I63</f>
        <v>51</v>
      </c>
      <c r="M41" s="444">
        <f ca="1">'[10]résultats commentaires'!J63</f>
        <v>47</v>
      </c>
      <c r="Z41" s="445"/>
      <c r="AA41" s="445"/>
      <c r="AB41" s="445"/>
      <c r="AC41" s="446"/>
      <c r="AD41" s="438"/>
      <c r="AE41" s="447"/>
      <c r="AF41" s="448"/>
      <c r="AG41" s="449"/>
      <c r="AH41" s="449"/>
      <c r="AI41" s="449"/>
      <c r="AJ41" s="449"/>
      <c r="AK41" s="449"/>
      <c r="AL41" s="449"/>
    </row>
    <row r="42" spans="1:38" ht="15" customHeight="1">
      <c r="A42" s="439" t="str">
        <f ca="1">[10]résultats!$I$85</f>
        <v>Faulkner Thierry</v>
      </c>
      <c r="B42" s="439">
        <f ca="1">[10]résultats!$K$85</f>
        <v>11</v>
      </c>
      <c r="C42" s="439">
        <f ca="1">[10]résultats!$L$85</f>
        <v>12</v>
      </c>
      <c r="D42" s="440">
        <f t="shared" ca="1" si="2"/>
        <v>0.91666666666666663</v>
      </c>
      <c r="E42" s="506">
        <f ca="1">'[10]résultats commentaires'!B64</f>
        <v>4</v>
      </c>
      <c r="F42" s="442" t="str">
        <f ca="1">'[10]résultats commentaires'!C64</f>
        <v>AJK VANNES 4</v>
      </c>
      <c r="G42" s="443">
        <f ca="1">'[10]résultats commentaires'!D64</f>
        <v>13.000069737162175</v>
      </c>
      <c r="H42" s="444">
        <f ca="1">'[10]résultats commentaires'!E64</f>
        <v>7</v>
      </c>
      <c r="I42" s="444">
        <f ca="1">'[10]résultats commentaires'!F64</f>
        <v>3</v>
      </c>
      <c r="J42" s="444">
        <f ca="1">'[10]résultats commentaires'!G64</f>
        <v>0</v>
      </c>
      <c r="K42" s="444">
        <f ca="1">'[10]résultats commentaires'!H64</f>
        <v>4</v>
      </c>
      <c r="L42" s="444">
        <f ca="1">'[10]résultats commentaires'!I64</f>
        <v>49</v>
      </c>
      <c r="M42" s="444">
        <f ca="1">'[10]résultats commentaires'!J64</f>
        <v>49</v>
      </c>
      <c r="Z42" s="445"/>
      <c r="AA42" s="445"/>
      <c r="AB42" s="445"/>
      <c r="AC42" s="446"/>
      <c r="AD42" s="438"/>
      <c r="AE42" s="447"/>
      <c r="AF42" s="448"/>
      <c r="AG42" s="449"/>
      <c r="AH42" s="449"/>
      <c r="AI42" s="449"/>
      <c r="AJ42" s="449"/>
      <c r="AK42" s="449"/>
      <c r="AL42" s="449"/>
    </row>
    <row r="43" spans="1:38" ht="15" customHeight="1">
      <c r="A43" s="450" t="str">
        <f ca="1">[10]résultats!$I$86</f>
        <v>Nicolas Jérémy</v>
      </c>
      <c r="B43" s="450">
        <f ca="1">[10]résultats!$K$86</f>
        <v>5</v>
      </c>
      <c r="C43" s="450">
        <f ca="1">[10]résultats!$L$86</f>
        <v>6</v>
      </c>
      <c r="D43" s="451">
        <f t="shared" ca="1" si="2"/>
        <v>0.83333333333333337</v>
      </c>
      <c r="E43" s="506" t="str">
        <f ca="1">'[10]résultats commentaires'!B65</f>
        <v>-</v>
      </c>
      <c r="F43" s="442" t="str">
        <f ca="1">'[10]résultats commentaires'!C65</f>
        <v>US ST-ABRAHAM 1</v>
      </c>
      <c r="G43" s="443">
        <f ca="1">'[10]résultats commentaires'!D65</f>
        <v>13.000042356690571</v>
      </c>
      <c r="H43" s="444">
        <f ca="1">'[10]résultats commentaires'!E65</f>
        <v>7</v>
      </c>
      <c r="I43" s="444">
        <f ca="1">'[10]résultats commentaires'!F65</f>
        <v>2</v>
      </c>
      <c r="J43" s="444">
        <f ca="1">'[10]résultats commentaires'!G65</f>
        <v>2</v>
      </c>
      <c r="K43" s="444">
        <f ca="1">'[10]résultats commentaires'!H65</f>
        <v>3</v>
      </c>
      <c r="L43" s="444">
        <f ca="1">'[10]résultats commentaires'!I65</f>
        <v>43</v>
      </c>
      <c r="M43" s="444">
        <f ca="1">'[10]résultats commentaires'!J65</f>
        <v>55</v>
      </c>
      <c r="Z43" s="445"/>
      <c r="AA43" s="445"/>
      <c r="AB43" s="445"/>
      <c r="AC43" s="446"/>
      <c r="AD43" s="438"/>
      <c r="AE43" s="447"/>
      <c r="AF43" s="448"/>
      <c r="AG43" s="449"/>
      <c r="AH43" s="449"/>
      <c r="AI43" s="449"/>
      <c r="AJ43" s="449"/>
      <c r="AK43" s="449"/>
      <c r="AL43" s="449"/>
    </row>
    <row r="44" spans="1:38" ht="15" customHeight="1">
      <c r="A44" s="450" t="str">
        <f ca="1">[10]résultats!$I$87</f>
        <v>Hilton Franck</v>
      </c>
      <c r="B44" s="450">
        <f ca="1">[10]résultats!$K$87</f>
        <v>6</v>
      </c>
      <c r="C44" s="450">
        <f ca="1">[10]résultats!$L$87</f>
        <v>6</v>
      </c>
      <c r="D44" s="451">
        <f t="shared" ca="1" si="2"/>
        <v>1</v>
      </c>
      <c r="E44" s="506" t="str">
        <f ca="1">'[10]résultats commentaires'!B66</f>
        <v>-</v>
      </c>
      <c r="F44" s="442" t="str">
        <f ca="1">'[10]résultats commentaires'!C66</f>
        <v>CTT MENIMUR 2</v>
      </c>
      <c r="G44" s="443">
        <f ca="1">'[10]résultats commentaires'!D66</f>
        <v>13.000019036879552</v>
      </c>
      <c r="H44" s="444">
        <f ca="1">'[10]résultats commentaires'!E66</f>
        <v>7</v>
      </c>
      <c r="I44" s="444">
        <f ca="1">'[10]résultats commentaires'!F66</f>
        <v>2</v>
      </c>
      <c r="J44" s="444">
        <f ca="1">'[10]résultats commentaires'!G66</f>
        <v>2</v>
      </c>
      <c r="K44" s="444">
        <f ca="1">'[10]résultats commentaires'!H66</f>
        <v>3</v>
      </c>
      <c r="L44" s="444">
        <f ca="1">'[10]résultats commentaires'!I66</f>
        <v>47</v>
      </c>
      <c r="M44" s="444">
        <f ca="1">'[10]résultats commentaires'!J66</f>
        <v>51</v>
      </c>
      <c r="Z44" s="445"/>
      <c r="AA44" s="445"/>
      <c r="AB44" s="445"/>
      <c r="AC44" s="446"/>
      <c r="AD44" s="438"/>
      <c r="AE44" s="447"/>
      <c r="AF44" s="448"/>
      <c r="AG44" s="449"/>
      <c r="AH44" s="449"/>
      <c r="AI44" s="449"/>
      <c r="AJ44" s="449"/>
      <c r="AK44" s="449"/>
      <c r="AL44" s="449"/>
    </row>
    <row r="45" spans="1:38" ht="15" customHeight="1">
      <c r="A45" s="450" t="str">
        <f ca="1">[10]résultats!$I$88</f>
        <v>Colombel Guy</v>
      </c>
      <c r="B45" s="450">
        <f ca="1">[10]résultats!$K$88</f>
        <v>1</v>
      </c>
      <c r="C45" s="450">
        <f ca="1">[10]résultats!$L$88</f>
        <v>3</v>
      </c>
      <c r="D45" s="451">
        <f t="shared" ca="1" si="2"/>
        <v>0.33333333333333331</v>
      </c>
      <c r="E45" s="506">
        <f ca="1">'[10]résultats commentaires'!B67</f>
        <v>7</v>
      </c>
      <c r="F45" s="442" t="str">
        <f ca="1">'[10]résultats commentaires'!C67</f>
        <v>PLUNERET/MERIAD 1</v>
      </c>
      <c r="G45" s="443">
        <f ca="1">'[10]résultats commentaires'!D67</f>
        <v>12.000071703128762</v>
      </c>
      <c r="H45" s="444">
        <f ca="1">'[10]résultats commentaires'!E67</f>
        <v>7</v>
      </c>
      <c r="I45" s="444">
        <f ca="1">'[10]résultats commentaires'!F67</f>
        <v>2</v>
      </c>
      <c r="J45" s="444">
        <f ca="1">'[10]résultats commentaires'!G67</f>
        <v>1</v>
      </c>
      <c r="K45" s="444">
        <f ca="1">'[10]résultats commentaires'!H67</f>
        <v>4</v>
      </c>
      <c r="L45" s="444">
        <f ca="1">'[10]résultats commentaires'!I67</f>
        <v>40</v>
      </c>
      <c r="M45" s="444">
        <f ca="1">'[10]résultats commentaires'!J67</f>
        <v>58</v>
      </c>
      <c r="N45"/>
      <c r="Z45" s="445"/>
      <c r="AA45" s="445"/>
      <c r="AB45" s="445"/>
      <c r="AC45" s="446"/>
      <c r="AD45" s="438"/>
      <c r="AE45" s="447"/>
      <c r="AF45" s="448"/>
      <c r="AG45" s="449"/>
      <c r="AH45" s="449"/>
      <c r="AI45" s="449"/>
      <c r="AJ45" s="449"/>
      <c r="AK45" s="449"/>
      <c r="AL45" s="449"/>
    </row>
    <row r="46" spans="1:38" ht="15" customHeight="1">
      <c r="A46" s="450" t="str">
        <f ca="1">[10]résultats!$I$89</f>
        <v>Cojean Youen</v>
      </c>
      <c r="B46" s="450">
        <f ca="1">[10]résultats!$K$89</f>
        <v>2</v>
      </c>
      <c r="C46" s="450">
        <f ca="1">[10]résultats!$L$89</f>
        <v>3</v>
      </c>
      <c r="D46" s="451">
        <f t="shared" ca="1" si="2"/>
        <v>0.66666666666666663</v>
      </c>
      <c r="E46" s="506" t="str">
        <f ca="1">'[10]résultats commentaires'!B68</f>
        <v>-</v>
      </c>
      <c r="F46" s="442" t="str">
        <f ca="1">'[10]résultats commentaires'!C68</f>
        <v>ASPTT VANNES 3</v>
      </c>
      <c r="G46" s="443">
        <f ca="1">'[10]résultats commentaires'!D68</f>
        <v>12.000060421006379</v>
      </c>
      <c r="H46" s="444">
        <f ca="1">'[10]résultats commentaires'!E68</f>
        <v>7</v>
      </c>
      <c r="I46" s="444">
        <f ca="1">'[10]résultats commentaires'!F68</f>
        <v>2</v>
      </c>
      <c r="J46" s="444">
        <f ca="1">'[10]résultats commentaires'!G68</f>
        <v>1</v>
      </c>
      <c r="K46" s="444">
        <f ca="1">'[10]résultats commentaires'!H68</f>
        <v>4</v>
      </c>
      <c r="L46" s="444">
        <f ca="1">'[10]résultats commentaires'!I68</f>
        <v>44</v>
      </c>
      <c r="M46" s="444">
        <f ca="1">'[10]résultats commentaires'!J68</f>
        <v>54</v>
      </c>
      <c r="Z46" s="445"/>
      <c r="AA46" s="445"/>
      <c r="AB46" s="445"/>
      <c r="AC46" s="446"/>
      <c r="AD46" s="438"/>
      <c r="AE46" s="447"/>
      <c r="AF46" s="448"/>
      <c r="AG46" s="449"/>
      <c r="AH46" s="449"/>
      <c r="AI46" s="449"/>
      <c r="AJ46" s="449"/>
      <c r="AK46" s="449"/>
      <c r="AL46" s="449"/>
    </row>
    <row r="47" spans="1:38" ht="15" customHeight="1">
      <c r="A47" s="450" t="str">
        <f ca="1">[10]résultats!$I$90</f>
        <v>Couture Christophe</v>
      </c>
      <c r="B47" s="450">
        <f ca="1">[10]résultats!$K$90</f>
        <v>0</v>
      </c>
      <c r="C47" s="450">
        <f ca="1">[10]résultats!$L$90</f>
        <v>3</v>
      </c>
      <c r="D47" s="451">
        <f t="shared" ca="1" si="2"/>
        <v>0</v>
      </c>
      <c r="E47" s="458" t="str">
        <f ca="1">[10]équipes!C4&amp;" en fin de phase contre "</f>
        <v xml:space="preserve">20 ans et 1258 pts de moy. en fin de phase contre </v>
      </c>
      <c r="F47" s="459"/>
      <c r="G47" s="459"/>
      <c r="H47" s="459"/>
      <c r="I47" s="459"/>
      <c r="J47" s="459"/>
      <c r="K47" s="459"/>
      <c r="L47" s="459"/>
      <c r="M47" s="351"/>
      <c r="Z47" s="445"/>
      <c r="AA47" s="445"/>
      <c r="AB47" s="445"/>
      <c r="AC47" s="446"/>
      <c r="AD47" s="452"/>
      <c r="AE47" s="453"/>
      <c r="AF47" s="454"/>
      <c r="AG47" s="455"/>
      <c r="AH47" s="455"/>
      <c r="AI47" s="455"/>
      <c r="AJ47" s="455"/>
      <c r="AK47" s="455"/>
      <c r="AL47" s="455"/>
    </row>
    <row r="48" spans="1:38" ht="15" customHeight="1">
      <c r="A48" s="466" t="s">
        <v>435</v>
      </c>
      <c r="B48" s="467">
        <f ca="1">IF([10]résultats!$BD$1&lt;=7,VLOOKUP(N18,F39:M46,7,FALSE)-SUM(B39:B47),VLOOKUP(N18,[10]clt!AW12:BD19,7,FALSE)-SUM(B39:B47))</f>
        <v>12</v>
      </c>
      <c r="C48" s="467">
        <f ca="1">IF([10]résultats!$BD$1&lt;=7,VLOOKUP(N18,F39:H46,3,FALSE)*2,VLOOKUP(N18,[10]clt!AW12:BD19,3,FALSE)*2)</f>
        <v>14</v>
      </c>
      <c r="D48" s="468">
        <f ca="1">IF(C48="","",B48/C48)</f>
        <v>0.8571428571428571</v>
      </c>
      <c r="E48" s="462" t="str">
        <f ca="1">ROUND(SUM('[10]résultats commentaires'!K48:K56)/COUNT('[10]résultats commentaires'!K48:K56),0)&amp; " points de moyenne en début de phase."</f>
        <v>1169 points de moyenne en début de phase.</v>
      </c>
      <c r="F48" s="463"/>
      <c r="G48" s="463"/>
      <c r="H48" s="463"/>
      <c r="I48" s="463"/>
      <c r="J48" s="464" t="s">
        <v>437</v>
      </c>
      <c r="K48" s="463"/>
      <c r="L48" s="463"/>
      <c r="M48" s="465"/>
      <c r="Z48" s="456"/>
      <c r="AA48" s="456"/>
      <c r="AB48" s="456"/>
      <c r="AC48" s="457"/>
      <c r="AD48" s="438"/>
      <c r="AE48" s="447"/>
      <c r="AF48" s="448"/>
      <c r="AG48" s="449"/>
      <c r="AH48" s="449"/>
      <c r="AI48" s="449"/>
      <c r="AJ48" s="449"/>
      <c r="AK48" s="449"/>
      <c r="AL48" s="449"/>
    </row>
    <row r="49" spans="1:38" ht="15" customHeight="1">
      <c r="A49" s="478" t="s">
        <v>156</v>
      </c>
      <c r="B49" s="479">
        <f ca="1">SUM(B39:B48)</f>
        <v>67</v>
      </c>
      <c r="C49" s="479">
        <f ca="1">SUM(C39:C48)</f>
        <v>98</v>
      </c>
      <c r="D49" s="480">
        <f ca="1">IF(C49="","",B49/C49)</f>
        <v>0.68367346938775508</v>
      </c>
      <c r="E49" s="469" t="str">
        <f>IF($F$12="",'[10]résultats des équipes'!L90,'[10]résultats des équipes'!L97)</f>
        <v>Vict 11 - 3</v>
      </c>
      <c r="F49" s="470" t="str">
        <f>IF($F$12="",'[10]résultats des équipes'!N90,'[10]résultats des équipes'!N97)</f>
        <v>US ST-ABRAHAM 1</v>
      </c>
      <c r="G49" s="507"/>
      <c r="H49" s="508"/>
      <c r="I49" s="508"/>
      <c r="J49" s="508"/>
      <c r="K49" s="508"/>
      <c r="L49" s="508"/>
      <c r="M49" s="509"/>
      <c r="Z49" s="456"/>
      <c r="AA49" s="456"/>
      <c r="AB49" s="456"/>
      <c r="AC49" s="457"/>
      <c r="AD49" s="474"/>
      <c r="AE49" s="475"/>
      <c r="AF49" s="1215"/>
      <c r="AG49" s="1216"/>
      <c r="AH49" s="1216"/>
      <c r="AI49" s="1216"/>
      <c r="AJ49" s="1216"/>
      <c r="AK49" s="1216"/>
      <c r="AL49" s="1216"/>
    </row>
    <row r="50" spans="1:38" ht="15" customHeight="1">
      <c r="A50" s="1252" t="s">
        <v>438</v>
      </c>
      <c r="B50" s="1253"/>
      <c r="C50" s="1253"/>
      <c r="D50" s="1253"/>
      <c r="E50" s="474" t="str">
        <f>IF($F$12="",'[10]résultats des équipes'!L91,'[10]résultats des équipes'!L98)</f>
        <v>Vict 10 - 4</v>
      </c>
      <c r="F50" s="475" t="str">
        <f>IF($F$12="",'[10]résultats des équipes'!N91,'[10]résultats des équipes'!N98)</f>
        <v>SENE TT 2</v>
      </c>
      <c r="G50" s="510"/>
      <c r="H50" s="472"/>
      <c r="I50" s="472"/>
      <c r="J50" s="472"/>
      <c r="K50" s="472"/>
      <c r="L50" s="472"/>
      <c r="M50" s="511"/>
      <c r="Z50" s="456"/>
      <c r="AA50" s="456"/>
      <c r="AB50" s="456"/>
      <c r="AC50" s="457"/>
      <c r="AD50" s="460"/>
      <c r="AE50" s="461"/>
      <c r="AF50" s="1216"/>
      <c r="AG50" s="1216"/>
      <c r="AH50" s="1216"/>
      <c r="AI50" s="1216"/>
      <c r="AJ50" s="1216"/>
      <c r="AK50" s="1216"/>
      <c r="AL50" s="1216"/>
    </row>
    <row r="51" spans="1:38" ht="15" customHeight="1">
      <c r="A51" s="1254"/>
      <c r="B51" s="1253"/>
      <c r="C51" s="1253"/>
      <c r="D51" s="1253"/>
      <c r="E51" s="474" t="str">
        <f>IF($F$12="",'[10]résultats des équipes'!L92,'[10]résultats des équipes'!L99)</f>
        <v>Vict 10 - 4</v>
      </c>
      <c r="F51" s="475" t="str">
        <f>IF($F$12="",'[10]résultats des équipes'!N92,'[10]résultats des équipes'!N99)</f>
        <v>PLUNERET/MERIAD 1</v>
      </c>
      <c r="G51" s="510"/>
      <c r="H51" s="472"/>
      <c r="I51" s="472"/>
      <c r="J51" s="472"/>
      <c r="K51" s="472"/>
      <c r="L51" s="472"/>
      <c r="M51" s="511"/>
      <c r="Z51" s="456"/>
      <c r="AA51" s="456"/>
      <c r="AB51" s="456"/>
      <c r="AC51" s="457"/>
      <c r="AD51" s="474"/>
      <c r="AE51" s="475"/>
      <c r="AF51" s="476"/>
      <c r="AG51" s="477"/>
      <c r="AH51" s="459"/>
      <c r="AI51" s="477"/>
      <c r="AJ51" s="459"/>
      <c r="AK51" s="459"/>
      <c r="AL51" s="340"/>
    </row>
    <row r="52" spans="1:38" ht="15" customHeight="1">
      <c r="A52" s="1254"/>
      <c r="B52" s="1253"/>
      <c r="C52" s="1253"/>
      <c r="D52" s="1253"/>
      <c r="E52" s="474" t="str">
        <f>IF($F$12="",'[10]résultats des équipes'!L93,'[10]résultats des équipes'!L100)</f>
        <v>Nul 7 - 7</v>
      </c>
      <c r="F52" s="475" t="str">
        <f>IF($F$12="",'[10]résultats des équipes'!N93,'[10]résultats des équipes'!N100)</f>
        <v>CTT MENIMUR 2</v>
      </c>
      <c r="G52" s="510"/>
      <c r="H52" s="472"/>
      <c r="I52" s="472"/>
      <c r="J52" s="472"/>
      <c r="K52" s="472"/>
      <c r="L52" s="472"/>
      <c r="M52" s="511"/>
      <c r="Z52" s="456"/>
      <c r="AA52" s="456"/>
      <c r="AB52" s="456"/>
      <c r="AC52" s="457"/>
      <c r="AD52" s="460"/>
      <c r="AE52" s="461"/>
      <c r="AF52" s="477"/>
      <c r="AG52" s="477"/>
      <c r="AH52" s="459"/>
      <c r="AI52" s="477"/>
      <c r="AJ52" s="459"/>
      <c r="AK52" s="459"/>
      <c r="AL52" s="340"/>
    </row>
    <row r="53" spans="1:38" ht="15" customHeight="1">
      <c r="A53" s="1254"/>
      <c r="B53" s="1253"/>
      <c r="C53" s="1253"/>
      <c r="D53" s="1253"/>
      <c r="E53" s="474" t="str">
        <f>IF($F$12="",'[10]résultats des équipes'!L94,'[10]résultats des équipes'!L101)</f>
        <v>Nul 7 - 7</v>
      </c>
      <c r="F53" s="475" t="str">
        <f>IF($F$12="",'[10]résultats des équipes'!N94,'[10]résultats des équipes'!N101)</f>
        <v>ASPTT VANNES 3</v>
      </c>
      <c r="G53" s="510"/>
      <c r="H53" s="472"/>
      <c r="I53" s="472"/>
      <c r="J53" s="472"/>
      <c r="K53" s="472"/>
      <c r="L53" s="472"/>
      <c r="M53" s="511"/>
      <c r="N53"/>
      <c r="Z53" s="456"/>
      <c r="AA53" s="456"/>
      <c r="AB53" s="456"/>
      <c r="AC53" s="457"/>
      <c r="AD53" s="460"/>
      <c r="AE53" s="461"/>
      <c r="AF53" s="477"/>
      <c r="AG53" s="477"/>
      <c r="AH53" s="459"/>
      <c r="AI53" s="477"/>
      <c r="AJ53" s="459"/>
      <c r="AK53" s="459"/>
      <c r="AL53" s="340"/>
    </row>
    <row r="54" spans="1:38" ht="15" customHeight="1">
      <c r="A54" s="1254"/>
      <c r="B54" s="1255"/>
      <c r="C54" s="1255"/>
      <c r="D54" s="1255"/>
      <c r="E54" s="484" t="str">
        <f>IF($F$12="",'[10]résultats des équipes'!L95,'[10]résultats des équipes'!L102)</f>
        <v>Vict 10 - 4</v>
      </c>
      <c r="F54" s="485" t="str">
        <f>IF($F$12="",'[10]résultats des équipes'!N95,'[10]résultats des équipes'!N102)</f>
        <v>AJK VANNES 4</v>
      </c>
      <c r="G54" s="510"/>
      <c r="H54" s="493"/>
      <c r="I54" s="493"/>
      <c r="J54" s="493"/>
      <c r="K54" s="493"/>
      <c r="L54" s="493"/>
      <c r="M54" s="494"/>
      <c r="Z54" s="481"/>
      <c r="AA54" s="482"/>
      <c r="AB54" s="482"/>
      <c r="AC54" s="483"/>
      <c r="AD54" s="460"/>
      <c r="AE54" s="461"/>
      <c r="AF54" s="477"/>
      <c r="AG54" s="486"/>
      <c r="AH54" s="459"/>
      <c r="AI54" s="487"/>
      <c r="AJ54" s="459"/>
      <c r="AK54" s="459"/>
      <c r="AL54" s="340"/>
    </row>
    <row r="55" spans="1:38" ht="15" customHeight="1">
      <c r="A55" s="1256"/>
      <c r="B55" s="1257"/>
      <c r="C55" s="1257"/>
      <c r="D55" s="1257"/>
      <c r="E55" s="498" t="str">
        <f>IF($F$12="",'[10]résultats des équipes'!L96,'[10]résultats des équipes'!L103)</f>
        <v>Vict 12 - 2</v>
      </c>
      <c r="F55" s="499" t="str">
        <f>IF($F$12="",'[10]résultats des équipes'!N96,'[10]résultats des équipes'!N103)</f>
        <v>L. PLOERMEL 3</v>
      </c>
      <c r="G55" s="510"/>
      <c r="H55" s="493"/>
      <c r="I55" s="493"/>
      <c r="J55" s="493"/>
      <c r="K55" s="493"/>
      <c r="L55" s="493"/>
      <c r="M55" s="494"/>
      <c r="Z55" s="512"/>
      <c r="AA55" s="496"/>
      <c r="AB55" s="496"/>
      <c r="AC55" s="497"/>
      <c r="AD55" s="460"/>
      <c r="AE55" s="461"/>
      <c r="AF55" s="459"/>
      <c r="AG55" s="459"/>
      <c r="AH55" s="459"/>
      <c r="AI55" s="459"/>
      <c r="AJ55" s="459"/>
      <c r="AK55" s="459"/>
      <c r="AL55" s="340"/>
    </row>
    <row r="56" spans="1:38" ht="17.25" customHeight="1">
      <c r="A56" s="1258"/>
      <c r="B56" s="1196"/>
      <c r="C56" s="1196"/>
      <c r="D56" s="1196"/>
      <c r="E56" s="1196"/>
      <c r="F56" s="1196"/>
      <c r="G56" s="1196"/>
      <c r="H56" s="1196"/>
      <c r="I56" s="1196"/>
      <c r="J56" s="1196"/>
      <c r="K56" s="1196"/>
      <c r="L56" s="1196"/>
      <c r="M56" s="1197"/>
      <c r="Z56" s="1240"/>
      <c r="AA56" s="1241"/>
      <c r="AB56" s="1241"/>
      <c r="AC56" s="1241"/>
      <c r="AD56" s="1241"/>
      <c r="AE56" s="1241"/>
      <c r="AF56" s="1241"/>
      <c r="AG56" s="1241"/>
      <c r="AH56" s="1241"/>
      <c r="AI56" s="1241"/>
      <c r="AJ56" s="1241"/>
      <c r="AK56" s="1241"/>
      <c r="AL56" s="1241"/>
    </row>
    <row r="57" spans="1:38" ht="15" hidden="1" customHeight="1">
      <c r="A57" s="1259"/>
      <c r="B57" s="1260"/>
      <c r="C57" s="1260"/>
      <c r="D57" s="1260"/>
      <c r="E57" s="1260"/>
      <c r="F57" s="1260"/>
      <c r="G57" s="1260"/>
      <c r="H57" s="1260"/>
      <c r="I57" s="1260"/>
      <c r="J57" s="1260"/>
      <c r="K57" s="1260"/>
      <c r="L57" s="1260"/>
      <c r="M57" s="1261"/>
      <c r="O57"/>
      <c r="Z57" s="1241"/>
      <c r="AA57" s="1241"/>
      <c r="AB57" s="1241"/>
      <c r="AC57" s="1241"/>
      <c r="AD57" s="1241"/>
      <c r="AE57" s="1241"/>
      <c r="AF57" s="1241"/>
      <c r="AG57" s="1241"/>
      <c r="AH57" s="1241"/>
      <c r="AI57" s="1241"/>
      <c r="AJ57" s="1241"/>
      <c r="AK57" s="1241"/>
      <c r="AL57" s="1241"/>
    </row>
    <row r="58" spans="1:38" ht="45" hidden="1" customHeight="1">
      <c r="A58" s="1198"/>
      <c r="B58" s="1199"/>
      <c r="C58" s="1199"/>
      <c r="D58" s="1199"/>
      <c r="E58" s="1199"/>
      <c r="F58" s="1199"/>
      <c r="G58" s="1199"/>
      <c r="H58" s="1199"/>
      <c r="I58" s="1199"/>
      <c r="J58" s="1199"/>
      <c r="K58" s="1199"/>
      <c r="L58" s="1199"/>
      <c r="M58" s="1200"/>
      <c r="Z58" s="1241"/>
      <c r="AA58" s="1241"/>
      <c r="AB58" s="1241"/>
      <c r="AC58" s="1241"/>
      <c r="AD58" s="1241"/>
      <c r="AE58" s="1241"/>
      <c r="AF58" s="1241"/>
      <c r="AG58" s="1241"/>
      <c r="AH58" s="1241"/>
      <c r="AI58" s="1241"/>
      <c r="AJ58" s="1241"/>
      <c r="AK58" s="1241"/>
      <c r="AL58" s="1241"/>
    </row>
    <row r="59" spans="1:38" ht="15" customHeight="1">
      <c r="A59" s="422" t="s">
        <v>431</v>
      </c>
      <c r="B59" s="423" t="s">
        <v>15</v>
      </c>
      <c r="C59" s="423" t="s">
        <v>348</v>
      </c>
      <c r="D59" s="424" t="s">
        <v>432</v>
      </c>
      <c r="E59" s="425" t="s">
        <v>17</v>
      </c>
      <c r="F59" s="426" t="str">
        <f ca="1">P19</f>
        <v>MTT 3: D2   E</v>
      </c>
      <c r="G59" s="427" t="s">
        <v>172</v>
      </c>
      <c r="H59" s="427" t="s">
        <v>433</v>
      </c>
      <c r="I59" s="428" t="s">
        <v>397</v>
      </c>
      <c r="J59" s="428" t="s">
        <v>174</v>
      </c>
      <c r="K59" s="428" t="s">
        <v>175</v>
      </c>
      <c r="L59" s="428" t="s">
        <v>176</v>
      </c>
      <c r="M59" s="428" t="s">
        <v>177</v>
      </c>
      <c r="Z59" s="1241"/>
      <c r="AA59" s="1241"/>
      <c r="AB59" s="1241"/>
      <c r="AC59" s="1241"/>
      <c r="AD59" s="1241"/>
      <c r="AE59" s="1241"/>
      <c r="AF59" s="1241"/>
      <c r="AG59" s="1241"/>
      <c r="AH59" s="1241"/>
      <c r="AI59" s="1241"/>
      <c r="AJ59" s="1241"/>
      <c r="AK59" s="1241"/>
      <c r="AL59" s="1241"/>
    </row>
    <row r="60" spans="1:38" ht="15" customHeight="1">
      <c r="A60" s="439" t="str">
        <f ca="1">[10]résultats!$P$82</f>
        <v>Le Garnec Sacha</v>
      </c>
      <c r="B60" s="439">
        <f ca="1">[10]résultats!$R$82</f>
        <v>11</v>
      </c>
      <c r="C60" s="439">
        <f ca="1">[10]résultats!$S$82</f>
        <v>18</v>
      </c>
      <c r="D60" s="440">
        <f t="shared" ref="D60:D68" ca="1" si="3">IF(C60="","",B60/C60)</f>
        <v>0.61111111111111116</v>
      </c>
      <c r="E60" s="506">
        <f>'[10]résultats commentaires'!B84</f>
        <v>1</v>
      </c>
      <c r="F60" s="442" t="str">
        <f ca="1">'[10]résultats commentaires'!C84</f>
        <v>BO QUESTEMBERT 1</v>
      </c>
      <c r="G60" s="443">
        <f ca="1">'[10]résultats commentaires'!D84</f>
        <v>21.00003237112195</v>
      </c>
      <c r="H60" s="444">
        <f ca="1">'[10]résultats commentaires'!E84</f>
        <v>7</v>
      </c>
      <c r="I60" s="444">
        <f ca="1">'[10]résultats commentaires'!F84</f>
        <v>7</v>
      </c>
      <c r="J60" s="444">
        <f ca="1">'[10]résultats commentaires'!G84</f>
        <v>0</v>
      </c>
      <c r="K60" s="444">
        <f ca="1">'[10]résultats commentaires'!H84</f>
        <v>0</v>
      </c>
      <c r="L60" s="444">
        <f ca="1">'[10]résultats commentaires'!I84</f>
        <v>79</v>
      </c>
      <c r="M60" s="444">
        <f ca="1">'[10]résultats commentaires'!J84</f>
        <v>19</v>
      </c>
      <c r="Z60" s="1241"/>
      <c r="AA60" s="1241"/>
      <c r="AB60" s="1241"/>
      <c r="AC60" s="1241"/>
      <c r="AD60" s="1241"/>
      <c r="AE60" s="1241"/>
      <c r="AF60" s="1241"/>
      <c r="AG60" s="1241"/>
      <c r="AH60" s="1241"/>
      <c r="AI60" s="1241"/>
      <c r="AJ60" s="1241"/>
      <c r="AK60" s="1241"/>
      <c r="AL60" s="1241"/>
    </row>
    <row r="61" spans="1:38" ht="15.75" customHeight="1">
      <c r="A61" s="439" t="str">
        <f ca="1">[10]résultats!$P$83</f>
        <v>Morin Emmanuel</v>
      </c>
      <c r="B61" s="439">
        <f ca="1">[10]résultats!$R$83</f>
        <v>8</v>
      </c>
      <c r="C61" s="439">
        <f ca="1">[10]résultats!$S$83</f>
        <v>18</v>
      </c>
      <c r="D61" s="440">
        <f t="shared" ca="1" si="3"/>
        <v>0.44444444444444442</v>
      </c>
      <c r="E61" s="506">
        <f ca="1">'[10]résultats commentaires'!B85</f>
        <v>2</v>
      </c>
      <c r="F61" s="442" t="str">
        <f ca="1">'[10]résultats commentaires'!C85</f>
        <v>TT PAYS LOCMINE 1</v>
      </c>
      <c r="G61" s="443">
        <f ca="1">'[10]résultats commentaires'!D85</f>
        <v>18.000065935395277</v>
      </c>
      <c r="H61" s="444">
        <f ca="1">'[10]résultats commentaires'!E85</f>
        <v>7</v>
      </c>
      <c r="I61" s="444">
        <f ca="1">'[10]résultats commentaires'!F85</f>
        <v>5</v>
      </c>
      <c r="J61" s="444">
        <f ca="1">'[10]résultats commentaires'!G85</f>
        <v>1</v>
      </c>
      <c r="K61" s="444">
        <f ca="1">'[10]résultats commentaires'!H85</f>
        <v>1</v>
      </c>
      <c r="L61" s="444">
        <f ca="1">'[10]résultats commentaires'!I85</f>
        <v>65</v>
      </c>
      <c r="M61" s="444">
        <f ca="1">'[10]résultats commentaires'!J85</f>
        <v>33</v>
      </c>
      <c r="Z61" s="432"/>
      <c r="AA61" s="433"/>
      <c r="AB61" s="433"/>
      <c r="AC61" s="434"/>
      <c r="AD61" s="435"/>
      <c r="AE61" s="436"/>
      <c r="AF61" s="437"/>
      <c r="AG61" s="437"/>
      <c r="AH61" s="438"/>
      <c r="AI61" s="438"/>
      <c r="AJ61" s="438"/>
      <c r="AK61" s="438"/>
      <c r="AL61" s="438"/>
    </row>
    <row r="62" spans="1:38">
      <c r="A62" s="439" t="str">
        <f ca="1">[10]résultats!$P$84</f>
        <v>Cojean Youen</v>
      </c>
      <c r="B62" s="439">
        <f ca="1">[10]résultats!$R$84</f>
        <v>8</v>
      </c>
      <c r="C62" s="439">
        <f ca="1">[10]résultats!$S$84</f>
        <v>15</v>
      </c>
      <c r="D62" s="440">
        <f t="shared" ca="1" si="3"/>
        <v>0.53333333333333333</v>
      </c>
      <c r="E62" s="506">
        <f ca="1">'[10]résultats commentaires'!B86</f>
        <v>3</v>
      </c>
      <c r="F62" s="442" t="str">
        <f ca="1">'[10]résultats commentaires'!C86</f>
        <v>CTT MENIMUR 3</v>
      </c>
      <c r="G62" s="443">
        <f ca="1">'[10]résultats commentaires'!D86</f>
        <v>15.000070890891182</v>
      </c>
      <c r="H62" s="444">
        <f ca="1">'[10]résultats commentaires'!E86</f>
        <v>7</v>
      </c>
      <c r="I62" s="444">
        <f ca="1">'[10]résultats commentaires'!F86</f>
        <v>4</v>
      </c>
      <c r="J62" s="444">
        <f ca="1">'[10]résultats commentaires'!G86</f>
        <v>0</v>
      </c>
      <c r="K62" s="444">
        <f ca="1">'[10]résultats commentaires'!H86</f>
        <v>3</v>
      </c>
      <c r="L62" s="444">
        <f ca="1">'[10]résultats commentaires'!I86</f>
        <v>52</v>
      </c>
      <c r="M62" s="444">
        <f ca="1">'[10]résultats commentaires'!J86</f>
        <v>46</v>
      </c>
      <c r="Z62" s="445"/>
      <c r="AA62" s="445"/>
      <c r="AB62" s="445"/>
      <c r="AC62" s="446"/>
      <c r="AD62" s="438"/>
      <c r="AE62" s="447"/>
      <c r="AF62" s="448"/>
      <c r="AG62" s="449"/>
      <c r="AH62" s="449"/>
      <c r="AI62" s="449"/>
      <c r="AJ62" s="449"/>
      <c r="AK62" s="449"/>
      <c r="AL62" s="449"/>
    </row>
    <row r="63" spans="1:38">
      <c r="A63" s="439" t="str">
        <f ca="1">[10]résultats!$P$85</f>
        <v>Hilton Franck</v>
      </c>
      <c r="B63" s="439">
        <f ca="1">[10]résultats!$R$85</f>
        <v>8</v>
      </c>
      <c r="C63" s="439">
        <f ca="1">[10]résultats!$S$85</f>
        <v>12</v>
      </c>
      <c r="D63" s="440">
        <f t="shared" ca="1" si="3"/>
        <v>0.66666666666666663</v>
      </c>
      <c r="E63" s="506" t="str">
        <f ca="1">'[10]résultats commentaires'!B87</f>
        <v>-</v>
      </c>
      <c r="F63" s="442" t="str">
        <f ca="1">'[10]résultats commentaires'!C87</f>
        <v>MUZILLAC TT 3</v>
      </c>
      <c r="G63" s="443">
        <f ca="1">'[10]résultats commentaires'!D87</f>
        <v>15.000007842125443</v>
      </c>
      <c r="H63" s="444">
        <f ca="1">'[10]résultats commentaires'!E87</f>
        <v>7</v>
      </c>
      <c r="I63" s="444">
        <f ca="1">'[10]résultats commentaires'!F87</f>
        <v>4</v>
      </c>
      <c r="J63" s="444">
        <f ca="1">'[10]résultats commentaires'!G87</f>
        <v>0</v>
      </c>
      <c r="K63" s="444">
        <f ca="1">'[10]résultats commentaires'!H87</f>
        <v>3</v>
      </c>
      <c r="L63" s="444">
        <f ca="1">'[10]résultats commentaires'!I87</f>
        <v>54</v>
      </c>
      <c r="M63" s="444">
        <f ca="1">'[10]résultats commentaires'!J87</f>
        <v>44</v>
      </c>
      <c r="Z63" s="445"/>
      <c r="AA63" s="445"/>
      <c r="AB63" s="445"/>
      <c r="AC63" s="446"/>
      <c r="AD63" s="438"/>
      <c r="AE63" s="447"/>
      <c r="AF63" s="448"/>
      <c r="AG63" s="449"/>
      <c r="AH63" s="449"/>
      <c r="AI63" s="449"/>
      <c r="AJ63" s="449"/>
      <c r="AK63" s="449"/>
      <c r="AL63" s="449"/>
    </row>
    <row r="64" spans="1:38">
      <c r="A64" s="439" t="str">
        <f ca="1">[10]résultats!$P$86</f>
        <v>Morin Léa</v>
      </c>
      <c r="B64" s="439">
        <f ca="1">[10]résultats!$R$86</f>
        <v>1</v>
      </c>
      <c r="C64" s="439">
        <f ca="1">[10]résultats!$S$86</f>
        <v>3</v>
      </c>
      <c r="D64" s="440">
        <f t="shared" ca="1" si="3"/>
        <v>0.33333333333333331</v>
      </c>
      <c r="E64" s="506">
        <f ca="1">'[10]résultats commentaires'!B88</f>
        <v>5</v>
      </c>
      <c r="F64" s="442" t="str">
        <f ca="1">'[10]résultats commentaires'!C88</f>
        <v>FC ST-RAOUL 1</v>
      </c>
      <c r="G64" s="443">
        <f ca="1">'[10]résultats commentaires'!D88</f>
        <v>13.000091142473766</v>
      </c>
      <c r="H64" s="444">
        <f ca="1">'[10]résultats commentaires'!E88</f>
        <v>7</v>
      </c>
      <c r="I64" s="444">
        <f ca="1">'[10]résultats commentaires'!F88</f>
        <v>3</v>
      </c>
      <c r="J64" s="444">
        <f ca="1">'[10]résultats commentaires'!G88</f>
        <v>0</v>
      </c>
      <c r="K64" s="444">
        <f ca="1">'[10]résultats commentaires'!H88</f>
        <v>4</v>
      </c>
      <c r="L64" s="444">
        <f ca="1">'[10]résultats commentaires'!I88</f>
        <v>47</v>
      </c>
      <c r="M64" s="444">
        <f ca="1">'[10]résultats commentaires'!J88</f>
        <v>51</v>
      </c>
      <c r="Z64" s="445"/>
      <c r="AA64" s="445"/>
      <c r="AB64" s="445"/>
      <c r="AC64" s="446"/>
      <c r="AD64" s="438"/>
      <c r="AE64" s="447"/>
      <c r="AF64" s="448"/>
      <c r="AG64" s="449"/>
      <c r="AH64" s="449"/>
      <c r="AI64" s="449"/>
      <c r="AJ64" s="449"/>
      <c r="AK64" s="449"/>
      <c r="AL64" s="449"/>
    </row>
    <row r="65" spans="1:38">
      <c r="A65" s="450" t="str">
        <f ca="1">[10]résultats!$P$87</f>
        <v>Vilain Benjamin</v>
      </c>
      <c r="B65" s="450">
        <f ca="1">[10]résultats!$R$87</f>
        <v>3</v>
      </c>
      <c r="C65" s="450">
        <f ca="1">[10]résultats!$S$87</f>
        <v>3</v>
      </c>
      <c r="D65" s="451">
        <f t="shared" ca="1" si="3"/>
        <v>1</v>
      </c>
      <c r="E65" s="506" t="str">
        <f ca="1">'[10]résultats commentaires'!B89</f>
        <v>-</v>
      </c>
      <c r="F65" s="442" t="str">
        <f ca="1">'[10]résultats commentaires'!C89</f>
        <v>JA PLEUCADEUC 1</v>
      </c>
      <c r="G65" s="443">
        <f ca="1">'[10]résultats commentaires'!D89</f>
        <v>13.000072455365814</v>
      </c>
      <c r="H65" s="444">
        <f ca="1">'[10]résultats commentaires'!E89</f>
        <v>7</v>
      </c>
      <c r="I65" s="444">
        <f ca="1">'[10]résultats commentaires'!F89</f>
        <v>3</v>
      </c>
      <c r="J65" s="444">
        <f ca="1">'[10]résultats commentaires'!G89</f>
        <v>0</v>
      </c>
      <c r="K65" s="444">
        <f ca="1">'[10]résultats commentaires'!H89</f>
        <v>4</v>
      </c>
      <c r="L65" s="444">
        <f ca="1">'[10]résultats commentaires'!I89</f>
        <v>38</v>
      </c>
      <c r="M65" s="444">
        <f ca="1">'[10]résultats commentaires'!J89</f>
        <v>60</v>
      </c>
      <c r="Z65" s="445"/>
      <c r="AA65" s="445"/>
      <c r="AB65" s="445"/>
      <c r="AC65" s="446"/>
      <c r="AD65" s="438"/>
      <c r="AE65" s="447"/>
      <c r="AF65" s="448"/>
      <c r="AG65" s="449"/>
      <c r="AH65" s="449"/>
      <c r="AI65" s="449"/>
      <c r="AJ65" s="449"/>
      <c r="AK65" s="449"/>
      <c r="AL65" s="449"/>
    </row>
    <row r="66" spans="1:38">
      <c r="A66" s="450" t="str">
        <f ca="1">[10]résultats!$P$88</f>
        <v/>
      </c>
      <c r="B66" s="450" t="str">
        <f ca="1">[10]résultats!$R$88</f>
        <v/>
      </c>
      <c r="C66" s="450" t="str">
        <f ca="1">[10]résultats!$S$88</f>
        <v/>
      </c>
      <c r="D66" s="451" t="str">
        <f t="shared" ca="1" si="3"/>
        <v/>
      </c>
      <c r="E66" s="506">
        <f ca="1">'[10]résultats commentaires'!B90</f>
        <v>7</v>
      </c>
      <c r="F66" s="442" t="str">
        <f ca="1">'[10]résultats commentaires'!C90</f>
        <v>ARGOET STT 1</v>
      </c>
      <c r="G66" s="443">
        <f ca="1">'[10]résultats commentaires'!D90</f>
        <v>10.000038630929819</v>
      </c>
      <c r="H66" s="444">
        <f ca="1">'[10]résultats commentaires'!E90</f>
        <v>7</v>
      </c>
      <c r="I66" s="444">
        <f ca="1">'[10]résultats commentaires'!F90</f>
        <v>1</v>
      </c>
      <c r="J66" s="444">
        <f ca="1">'[10]résultats commentaires'!G90</f>
        <v>1</v>
      </c>
      <c r="K66" s="444">
        <f ca="1">'[10]résultats commentaires'!H90</f>
        <v>5</v>
      </c>
      <c r="L66" s="444">
        <f ca="1">'[10]résultats commentaires'!I90</f>
        <v>40</v>
      </c>
      <c r="M66" s="444">
        <f ca="1">'[10]résultats commentaires'!J90</f>
        <v>58</v>
      </c>
      <c r="Z66" s="445"/>
      <c r="AA66" s="445"/>
      <c r="AB66" s="445"/>
      <c r="AC66" s="446"/>
      <c r="AD66" s="438"/>
      <c r="AE66" s="447"/>
      <c r="AF66" s="448"/>
      <c r="AG66" s="449"/>
      <c r="AH66" s="449"/>
      <c r="AI66" s="449"/>
      <c r="AJ66" s="449"/>
      <c r="AK66" s="449"/>
      <c r="AL66" s="449"/>
    </row>
    <row r="67" spans="1:38">
      <c r="A67" s="450" t="str">
        <f ca="1">[10]résultats!$P$89</f>
        <v/>
      </c>
      <c r="B67" s="450" t="str">
        <f ca="1">[10]résultats!$R$89</f>
        <v/>
      </c>
      <c r="C67" s="450" t="str">
        <f ca="1">[10]résultats!$S$89</f>
        <v/>
      </c>
      <c r="D67" s="451" t="str">
        <f t="shared" ca="1" si="3"/>
        <v/>
      </c>
      <c r="E67" s="506">
        <f ca="1">'[10]résultats commentaires'!B91</f>
        <v>8</v>
      </c>
      <c r="F67" s="442" t="str">
        <f ca="1">'[10]résultats commentaires'!C91</f>
        <v>ASPTT VANNES 6</v>
      </c>
      <c r="G67" s="443">
        <f ca="1">'[10]résultats commentaires'!D91</f>
        <v>7.0000044224188889</v>
      </c>
      <c r="H67" s="444">
        <f ca="1">'[10]résultats commentaires'!E91</f>
        <v>7</v>
      </c>
      <c r="I67" s="444">
        <f ca="1">'[10]résultats commentaires'!F91</f>
        <v>0</v>
      </c>
      <c r="J67" s="444">
        <f ca="1">'[10]résultats commentaires'!G91</f>
        <v>0</v>
      </c>
      <c r="K67" s="444">
        <f ca="1">'[10]résultats commentaires'!H91</f>
        <v>7</v>
      </c>
      <c r="L67" s="444">
        <f ca="1">'[10]résultats commentaires'!I91</f>
        <v>17</v>
      </c>
      <c r="M67" s="444">
        <f ca="1">'[10]résultats commentaires'!J91</f>
        <v>81</v>
      </c>
      <c r="Z67" s="456"/>
      <c r="AA67" s="456"/>
      <c r="AB67" s="456"/>
      <c r="AC67" s="457"/>
      <c r="AD67" s="438"/>
      <c r="AE67" s="447"/>
      <c r="AF67" s="448"/>
      <c r="AG67" s="449"/>
      <c r="AH67" s="449"/>
      <c r="AI67" s="449"/>
      <c r="AJ67" s="449"/>
      <c r="AK67" s="449"/>
      <c r="AL67" s="449"/>
    </row>
    <row r="68" spans="1:38" ht="17.25" customHeight="1">
      <c r="A68" s="450" t="str">
        <f ca="1">[10]résultats!$P$90</f>
        <v/>
      </c>
      <c r="B68" s="450" t="str">
        <f ca="1">[10]résultats!$R$90</f>
        <v/>
      </c>
      <c r="C68" s="450" t="str">
        <f ca="1">[10]résultats!$S$90</f>
        <v/>
      </c>
      <c r="D68" s="451" t="str">
        <f t="shared" ca="1" si="3"/>
        <v/>
      </c>
      <c r="E68" s="458" t="str">
        <f ca="1">[10]équipes!F4&amp;" en fin de phase contre "</f>
        <v xml:space="preserve">28 ans et 1037 pts de moy. en fin de phase contre </v>
      </c>
      <c r="F68" s="459"/>
      <c r="G68" s="459"/>
      <c r="H68" s="459"/>
      <c r="I68" s="459"/>
      <c r="J68" s="459"/>
      <c r="K68" s="459"/>
      <c r="L68" s="459"/>
      <c r="M68" s="351"/>
      <c r="Z68" s="456"/>
      <c r="AA68" s="456"/>
      <c r="AB68" s="456"/>
      <c r="AC68" s="457"/>
      <c r="AD68" s="452"/>
      <c r="AE68" s="453"/>
      <c r="AF68" s="454"/>
      <c r="AG68" s="455"/>
      <c r="AH68" s="455"/>
      <c r="AI68" s="455"/>
      <c r="AJ68" s="455"/>
      <c r="AK68" s="455"/>
      <c r="AL68" s="455"/>
    </row>
    <row r="69" spans="1:38" ht="17.25" customHeight="1">
      <c r="A69" s="450" t="str">
        <f ca="1">[10]résultats!$P$91</f>
        <v/>
      </c>
      <c r="B69" s="450" t="str">
        <f ca="1">[10]résultats!$R$91</f>
        <v/>
      </c>
      <c r="C69" s="450" t="str">
        <f ca="1">[10]résultats!$S$91</f>
        <v/>
      </c>
      <c r="D69" s="451" t="str">
        <f ca="1">IF(C69="","",B69/C69)</f>
        <v/>
      </c>
      <c r="E69" s="462" t="str">
        <f ca="1">ROUND(SUM('[10]résultats commentaires'!K71:K79)/COUNT('[10]résultats commentaires'!K71:K79),0)&amp; " points de moyenne en début de phase."</f>
        <v>900 points de moyenne en début de phase.</v>
      </c>
      <c r="F69" s="463"/>
      <c r="G69" s="463"/>
      <c r="H69" s="463"/>
      <c r="I69" s="463"/>
      <c r="J69" s="464" t="s">
        <v>439</v>
      </c>
      <c r="K69" s="463"/>
      <c r="L69" s="463"/>
      <c r="M69" s="465"/>
      <c r="Z69" s="456"/>
      <c r="AA69" s="456"/>
      <c r="AB69" s="456"/>
      <c r="AC69" s="457"/>
      <c r="AD69" s="438"/>
      <c r="AE69" s="447"/>
      <c r="AF69" s="448"/>
      <c r="AG69" s="449"/>
      <c r="AH69" s="449"/>
      <c r="AI69" s="449"/>
      <c r="AJ69" s="449"/>
      <c r="AK69" s="449"/>
      <c r="AL69" s="449"/>
    </row>
    <row r="70" spans="1:38">
      <c r="A70" s="450"/>
      <c r="B70" s="450"/>
      <c r="C70" s="450"/>
      <c r="D70" s="451"/>
      <c r="E70" s="469" t="str">
        <f>IF($F$12="",'[10]résultats des équipes'!R90,'[10]résultats des équipes'!R97)</f>
        <v>Vict 9 - 5</v>
      </c>
      <c r="F70" s="470" t="str">
        <f>IF($F$12="",'[10]résultats des équipes'!T90,'[10]résultats des équipes'!T97)</f>
        <v>ARGOET STT 1</v>
      </c>
      <c r="G70" s="513"/>
      <c r="H70" s="472"/>
      <c r="I70" s="472"/>
      <c r="J70" s="472"/>
      <c r="K70" s="472"/>
      <c r="L70" s="472"/>
      <c r="M70" s="473"/>
      <c r="Z70" s="456"/>
      <c r="AA70" s="456"/>
      <c r="AB70" s="456"/>
      <c r="AC70" s="457"/>
      <c r="AD70" s="474"/>
      <c r="AE70" s="475"/>
      <c r="AF70" s="1215"/>
      <c r="AG70" s="1216"/>
      <c r="AH70" s="1216"/>
      <c r="AI70" s="1216"/>
      <c r="AJ70" s="1216"/>
      <c r="AK70" s="1216"/>
      <c r="AL70" s="1216"/>
    </row>
    <row r="71" spans="1:38">
      <c r="A71" s="466" t="s">
        <v>435</v>
      </c>
      <c r="B71" s="467">
        <f ca="1">IF([10]résultats!$BD$1&lt;=7,VLOOKUP(N19,F60:M67,7,FALSE)-SUM(B60:B70),VLOOKUP(N19,[10]clt!AW21:BD28,7,FALSE)-SUM(B60:B70))</f>
        <v>15</v>
      </c>
      <c r="C71" s="467">
        <f ca="1">IF([10]résultats!$BD$1&lt;=7,VLOOKUP(N19,F60:H67,3,FALSE)*2,VLOOKUP(N19,[10]clt!AW21:BD28,3,FALSE)*2)</f>
        <v>14</v>
      </c>
      <c r="D71" s="468">
        <f ca="1">IF(C71="","",B71/C71)</f>
        <v>1.0714285714285714</v>
      </c>
      <c r="E71" s="474" t="str">
        <f>IF($F$12="",'[10]résultats des équipes'!R91,'[10]résultats des équipes'!R98)</f>
        <v>Déf 8 - 6</v>
      </c>
      <c r="F71" s="475" t="str">
        <f>IF($F$12="",'[10]résultats des équipes'!T91,'[10]résultats des équipes'!T98)</f>
        <v>JA PLEUCADEUC 1</v>
      </c>
      <c r="G71" s="513"/>
      <c r="H71" s="472"/>
      <c r="I71" s="472"/>
      <c r="J71" s="472"/>
      <c r="K71" s="472"/>
      <c r="L71" s="472"/>
      <c r="M71" s="473"/>
      <c r="Z71" s="456"/>
      <c r="AA71" s="456"/>
      <c r="AB71" s="456"/>
      <c r="AC71" s="457"/>
      <c r="AD71" s="460"/>
      <c r="AE71" s="461"/>
      <c r="AF71" s="1216"/>
      <c r="AG71" s="1216"/>
      <c r="AH71" s="1216"/>
      <c r="AI71" s="1216"/>
      <c r="AJ71" s="1216"/>
      <c r="AK71" s="1216"/>
      <c r="AL71" s="1216"/>
    </row>
    <row r="72" spans="1:38" ht="15.75" customHeight="1">
      <c r="A72" s="478" t="s">
        <v>156</v>
      </c>
      <c r="B72" s="479">
        <f ca="1">SUM(B60:B71)</f>
        <v>54</v>
      </c>
      <c r="C72" s="479">
        <f ca="1">SUM(C60:C71)</f>
        <v>83</v>
      </c>
      <c r="D72" s="480">
        <f ca="1">IF(C72="","",B72/C72)</f>
        <v>0.6506024096385542</v>
      </c>
      <c r="E72" s="474" t="str">
        <f>IF($F$12="",'[10]résultats des équipes'!R92,'[10]résultats des équipes'!R99)</f>
        <v>Vict 9 - 5</v>
      </c>
      <c r="F72" s="475" t="str">
        <f>IF($F$12="",'[10]résultats des équipes'!T92,'[10]résultats des équipes'!T99)</f>
        <v>FC ST-RAOUL 1</v>
      </c>
      <c r="G72" s="513"/>
      <c r="H72" s="493"/>
      <c r="I72" s="493"/>
      <c r="J72" s="493"/>
      <c r="K72" s="493"/>
      <c r="L72" s="493"/>
      <c r="M72" s="494"/>
      <c r="Z72" s="456"/>
      <c r="AA72" s="456"/>
      <c r="AB72" s="456"/>
      <c r="AC72" s="457"/>
      <c r="AD72" s="460"/>
      <c r="AE72" s="461"/>
      <c r="AF72" s="476"/>
      <c r="AG72" s="477"/>
      <c r="AH72" s="459"/>
      <c r="AI72" s="477"/>
      <c r="AJ72" s="459"/>
      <c r="AK72" s="459"/>
      <c r="AL72" s="340"/>
    </row>
    <row r="73" spans="1:38" ht="15.75" customHeight="1">
      <c r="A73" s="1205" t="s">
        <v>440</v>
      </c>
      <c r="B73" s="1192"/>
      <c r="C73" s="1192"/>
      <c r="D73" s="1192"/>
      <c r="E73" s="474" t="str">
        <f>IF($F$12="",'[10]résultats des équipes'!R93,'[10]résultats des équipes'!R100)</f>
        <v>Déf 10 - 4</v>
      </c>
      <c r="F73" s="475" t="str">
        <f>IF($F$12="",'[10]résultats des équipes'!T93,'[10]résultats des équipes'!T100)</f>
        <v>TT PAYS LOCMINE 1</v>
      </c>
      <c r="G73" s="513"/>
      <c r="H73" s="514"/>
      <c r="I73" s="514"/>
      <c r="J73" s="514"/>
      <c r="K73" s="514"/>
      <c r="L73" s="514"/>
      <c r="M73" s="494"/>
      <c r="Z73" s="456"/>
      <c r="AA73" s="456"/>
      <c r="AB73" s="456"/>
      <c r="AC73" s="457"/>
      <c r="AD73" s="460"/>
      <c r="AE73" s="461"/>
      <c r="AF73" s="477"/>
      <c r="AG73" s="477"/>
      <c r="AH73" s="459"/>
      <c r="AI73" s="477"/>
      <c r="AJ73" s="459"/>
      <c r="AK73" s="459"/>
      <c r="AL73" s="340"/>
    </row>
    <row r="74" spans="1:38" ht="14.25" customHeight="1">
      <c r="A74" s="1191"/>
      <c r="B74" s="1192"/>
      <c r="C74" s="1192"/>
      <c r="D74" s="1192"/>
      <c r="E74" s="474" t="str">
        <f>IF($F$12="",'[10]résultats des équipes'!R94,'[10]résultats des équipes'!R101)</f>
        <v>Vict 8 - 6</v>
      </c>
      <c r="F74" s="475" t="str">
        <f>IF($F$12="",'[10]résultats des équipes'!T94,'[10]résultats des équipes'!T101)</f>
        <v>CTT MENIMUR 3</v>
      </c>
      <c r="G74" s="513"/>
      <c r="H74" s="514"/>
      <c r="I74" s="514"/>
      <c r="J74" s="514"/>
      <c r="K74" s="514"/>
      <c r="L74" s="514"/>
      <c r="M74" s="494"/>
      <c r="N74" s="515"/>
      <c r="Z74" s="456"/>
      <c r="AA74" s="456"/>
      <c r="AB74" s="456"/>
      <c r="AC74" s="457"/>
      <c r="AD74" s="460"/>
      <c r="AE74" s="461"/>
      <c r="AF74" s="477"/>
      <c r="AG74" s="477"/>
      <c r="AH74" s="459"/>
      <c r="AI74" s="477"/>
      <c r="AJ74" s="459"/>
      <c r="AK74" s="459"/>
      <c r="AL74" s="340"/>
    </row>
    <row r="75" spans="1:38" ht="15.75" customHeight="1">
      <c r="A75" s="1191"/>
      <c r="B75" s="1192"/>
      <c r="C75" s="1192"/>
      <c r="D75" s="1192"/>
      <c r="E75" s="484" t="str">
        <f>IF($F$12="",'[10]résultats des équipes'!R95,'[10]résultats des équipes'!R102)</f>
        <v>Vict 13 - 1</v>
      </c>
      <c r="F75" s="485" t="str">
        <f>IF($F$12="",'[10]résultats des équipes'!T95,'[10]résultats des équipes'!T102)</f>
        <v>ASPTT VANNES 6</v>
      </c>
      <c r="G75" s="513"/>
      <c r="H75" s="514"/>
      <c r="I75" s="514"/>
      <c r="J75" s="514"/>
      <c r="K75" s="514"/>
      <c r="L75" s="514"/>
      <c r="M75" s="494"/>
      <c r="Z75" s="456"/>
      <c r="AA75" s="456"/>
      <c r="AB75" s="456"/>
      <c r="AC75" s="457"/>
      <c r="AD75" s="460"/>
      <c r="AE75" s="461"/>
      <c r="AF75" s="477"/>
      <c r="AG75" s="486"/>
      <c r="AH75" s="459"/>
      <c r="AI75" s="487"/>
      <c r="AJ75" s="459"/>
      <c r="AK75" s="459"/>
      <c r="AL75" s="340"/>
    </row>
    <row r="76" spans="1:38" ht="13.5" customHeight="1">
      <c r="A76" s="1193"/>
      <c r="B76" s="1194"/>
      <c r="C76" s="1194"/>
      <c r="D76" s="1194"/>
      <c r="E76" s="498" t="str">
        <f>IF($F$12="",'[10]résultats des équipes'!R96,'[10]résultats des équipes'!R103)</f>
        <v>Déf 9 - 5</v>
      </c>
      <c r="F76" s="499" t="str">
        <f>IF($F$12="",'[10]résultats des équipes'!T96,'[10]résultats des équipes'!T103)</f>
        <v>BO QUESTEMBERT 1</v>
      </c>
      <c r="G76" s="500"/>
      <c r="H76" s="501"/>
      <c r="I76" s="501"/>
      <c r="J76" s="501"/>
      <c r="K76" s="501"/>
      <c r="L76" s="501"/>
      <c r="M76" s="502"/>
      <c r="Z76" s="481"/>
      <c r="AA76" s="482"/>
      <c r="AB76" s="482"/>
      <c r="AC76" s="483"/>
      <c r="AD76" s="474"/>
      <c r="AE76" s="475"/>
      <c r="AF76" s="459"/>
      <c r="AG76" s="459"/>
      <c r="AH76" s="459"/>
      <c r="AI76" s="459"/>
      <c r="AJ76" s="459"/>
      <c r="AK76" s="459"/>
      <c r="AL76" s="340"/>
    </row>
    <row r="77" spans="1:38" ht="17.25" customHeight="1">
      <c r="A77" s="1233"/>
      <c r="B77" s="1234"/>
      <c r="C77" s="1234"/>
      <c r="D77" s="1234"/>
      <c r="E77" s="1234"/>
      <c r="F77" s="1234"/>
      <c r="G77" s="1234"/>
      <c r="H77" s="1234"/>
      <c r="I77" s="1234"/>
      <c r="J77" s="1234"/>
      <c r="K77" s="1234"/>
      <c r="L77" s="1234"/>
      <c r="M77" s="1235"/>
      <c r="Z77" s="512"/>
      <c r="AA77" s="496"/>
      <c r="AB77" s="496"/>
      <c r="AC77" s="497"/>
      <c r="AD77" s="516"/>
      <c r="AE77" s="516"/>
      <c r="AF77" s="517"/>
      <c r="AG77" s="517"/>
      <c r="AH77" s="517"/>
      <c r="AI77" s="517"/>
      <c r="AJ77" s="517"/>
      <c r="AK77" s="517"/>
      <c r="AL77" s="517"/>
    </row>
    <row r="78" spans="1:38" ht="15" hidden="1" customHeight="1">
      <c r="A78" s="1236"/>
      <c r="B78" s="1234"/>
      <c r="C78" s="1234"/>
      <c r="D78" s="1234"/>
      <c r="E78" s="1234"/>
      <c r="F78" s="1234"/>
      <c r="G78" s="1234"/>
      <c r="H78" s="1234"/>
      <c r="I78" s="1234"/>
      <c r="J78" s="1234"/>
      <c r="K78" s="1234"/>
      <c r="L78" s="1234"/>
      <c r="M78" s="1235"/>
      <c r="Z78" s="518"/>
      <c r="AA78" s="496"/>
      <c r="AB78" s="496"/>
      <c r="AC78" s="497"/>
      <c r="AD78" s="517"/>
      <c r="AE78" s="517"/>
      <c r="AF78" s="517"/>
      <c r="AG78" s="517"/>
      <c r="AH78" s="517"/>
      <c r="AI78" s="517"/>
      <c r="AJ78" s="517"/>
      <c r="AK78" s="517"/>
      <c r="AL78" s="517"/>
    </row>
    <row r="79" spans="1:38" ht="15" hidden="1" customHeight="1">
      <c r="A79" s="1236"/>
      <c r="B79" s="1234"/>
      <c r="C79" s="1234"/>
      <c r="D79" s="1234"/>
      <c r="E79" s="1234"/>
      <c r="F79" s="1234"/>
      <c r="G79" s="1234"/>
      <c r="H79" s="1234"/>
      <c r="I79" s="1234"/>
      <c r="J79" s="1234"/>
      <c r="K79" s="1234"/>
      <c r="L79" s="1234"/>
      <c r="M79" s="1235"/>
      <c r="Z79" s="495"/>
      <c r="AA79" s="496"/>
      <c r="AB79" s="496"/>
      <c r="AC79" s="497"/>
      <c r="AD79" s="517"/>
      <c r="AE79" s="517"/>
      <c r="AF79" s="517"/>
      <c r="AG79" s="517"/>
      <c r="AH79" s="517"/>
      <c r="AI79" s="517"/>
      <c r="AJ79" s="517"/>
      <c r="AK79" s="517"/>
      <c r="AL79" s="517"/>
    </row>
    <row r="80" spans="1:38" ht="85.5" hidden="1" customHeight="1">
      <c r="A80" s="1237"/>
      <c r="B80" s="1238"/>
      <c r="C80" s="1238"/>
      <c r="D80" s="1238"/>
      <c r="E80" s="1238"/>
      <c r="F80" s="1238"/>
      <c r="G80" s="1238"/>
      <c r="H80" s="1238"/>
      <c r="I80" s="1238"/>
      <c r="J80" s="1238"/>
      <c r="K80" s="1238"/>
      <c r="L80" s="1238"/>
      <c r="M80" s="1239"/>
      <c r="Z80" s="495"/>
      <c r="AA80" s="496"/>
      <c r="AB80" s="496"/>
      <c r="AC80" s="497"/>
      <c r="AD80" s="517"/>
      <c r="AE80" s="517"/>
      <c r="AF80" s="517"/>
      <c r="AG80" s="517"/>
      <c r="AH80" s="517"/>
      <c r="AI80" s="517"/>
      <c r="AJ80" s="517"/>
      <c r="AK80" s="517"/>
      <c r="AL80" s="517"/>
    </row>
    <row r="81" spans="1:38" ht="15" customHeight="1">
      <c r="A81" s="422" t="s">
        <v>431</v>
      </c>
      <c r="B81" s="423" t="s">
        <v>15</v>
      </c>
      <c r="C81" s="423" t="s">
        <v>348</v>
      </c>
      <c r="D81" s="424" t="s">
        <v>432</v>
      </c>
      <c r="E81" s="425" t="s">
        <v>17</v>
      </c>
      <c r="F81" s="426" t="str">
        <f ca="1">P20</f>
        <v>MTT 4: D2   D</v>
      </c>
      <c r="G81" s="427" t="s">
        <v>172</v>
      </c>
      <c r="H81" s="427" t="s">
        <v>433</v>
      </c>
      <c r="I81" s="428" t="s">
        <v>397</v>
      </c>
      <c r="J81" s="428" t="s">
        <v>174</v>
      </c>
      <c r="K81" s="428" t="s">
        <v>175</v>
      </c>
      <c r="L81" s="428" t="s">
        <v>176</v>
      </c>
      <c r="M81" s="428" t="s">
        <v>177</v>
      </c>
      <c r="Z81" s="495"/>
      <c r="AA81" s="496"/>
      <c r="AB81" s="496"/>
      <c r="AC81" s="497"/>
      <c r="AD81" s="517"/>
      <c r="AE81" s="517"/>
      <c r="AF81" s="517"/>
      <c r="AG81" s="517"/>
      <c r="AH81" s="517"/>
      <c r="AI81" s="517"/>
      <c r="AJ81" s="517"/>
      <c r="AK81" s="517"/>
      <c r="AL81" s="517"/>
    </row>
    <row r="82" spans="1:38" ht="15" customHeight="1">
      <c r="A82" s="439" t="str">
        <f ca="1">[10]résultats!$W$82</f>
        <v>Baudais Luc</v>
      </c>
      <c r="B82" s="439">
        <f ca="1">[10]résultats!$Y$82</f>
        <v>12</v>
      </c>
      <c r="C82" s="439">
        <f ca="1">[10]résultats!$Z$82</f>
        <v>21</v>
      </c>
      <c r="D82" s="440">
        <f t="shared" ref="D82:D90" ca="1" si="4">IF(C82="","",B82/C82)</f>
        <v>0.5714285714285714</v>
      </c>
      <c r="E82" s="506">
        <f>'[10]résultats commentaires'!B107</f>
        <v>1</v>
      </c>
      <c r="F82" s="442" t="str">
        <f ca="1">'[10]résultats commentaires'!C107</f>
        <v>US ST-ABRAHAM 2</v>
      </c>
      <c r="G82" s="443">
        <f ca="1">'[10]résultats commentaires'!D107</f>
        <v>17.000016398985451</v>
      </c>
      <c r="H82" s="444">
        <f ca="1">'[10]résultats commentaires'!E107</f>
        <v>7</v>
      </c>
      <c r="I82" s="444">
        <f ca="1">'[10]résultats commentaires'!F107</f>
        <v>5</v>
      </c>
      <c r="J82" s="444">
        <f ca="1">'[10]résultats commentaires'!G107</f>
        <v>0</v>
      </c>
      <c r="K82" s="444">
        <f ca="1">'[10]résultats commentaires'!H107</f>
        <v>2</v>
      </c>
      <c r="L82" s="444">
        <f ca="1">'[10]résultats commentaires'!I107</f>
        <v>54</v>
      </c>
      <c r="M82" s="444">
        <f ca="1">'[10]résultats commentaires'!J107</f>
        <v>44</v>
      </c>
      <c r="Z82" s="1240"/>
      <c r="AA82" s="1241"/>
      <c r="AB82" s="1241"/>
      <c r="AC82" s="1241"/>
      <c r="AD82" s="1241"/>
      <c r="AE82" s="1241"/>
      <c r="AF82" s="1241"/>
      <c r="AG82" s="1241"/>
      <c r="AH82" s="1241"/>
      <c r="AI82" s="1241"/>
      <c r="AJ82" s="1241"/>
      <c r="AK82" s="1241"/>
      <c r="AL82" s="1241"/>
    </row>
    <row r="83" spans="1:38">
      <c r="A83" s="439" t="str">
        <f ca="1">[10]résultats!$W$83</f>
        <v>Rochefort Reginald</v>
      </c>
      <c r="B83" s="439">
        <f ca="1">[10]résultats!$Y$83</f>
        <v>10</v>
      </c>
      <c r="C83" s="439">
        <f ca="1">[10]résultats!$Z$83</f>
        <v>18</v>
      </c>
      <c r="D83" s="440">
        <f t="shared" ca="1" si="4"/>
        <v>0.55555555555555558</v>
      </c>
      <c r="E83" s="506">
        <f ca="1">'[10]résultats commentaires'!B108</f>
        <v>2</v>
      </c>
      <c r="F83" s="442" t="str">
        <f ca="1">'[10]résultats commentaires'!C108</f>
        <v>L. PLOERMEL 4</v>
      </c>
      <c r="G83" s="443">
        <f ca="1">'[10]résultats commentaires'!D108</f>
        <v>15.000058236396544</v>
      </c>
      <c r="H83" s="444">
        <f ca="1">'[10]résultats commentaires'!E108</f>
        <v>7</v>
      </c>
      <c r="I83" s="444">
        <f ca="1">'[10]résultats commentaires'!F108</f>
        <v>4</v>
      </c>
      <c r="J83" s="444">
        <f ca="1">'[10]résultats commentaires'!G108</f>
        <v>0</v>
      </c>
      <c r="K83" s="444">
        <f ca="1">'[10]résultats commentaires'!H108</f>
        <v>3</v>
      </c>
      <c r="L83" s="444">
        <f ca="1">'[10]résultats commentaires'!I108</f>
        <v>53</v>
      </c>
      <c r="M83" s="444">
        <f ca="1">'[10]résultats commentaires'!J108</f>
        <v>45</v>
      </c>
      <c r="Z83" s="1241"/>
      <c r="AA83" s="1241"/>
      <c r="AB83" s="1241"/>
      <c r="AC83" s="1241"/>
      <c r="AD83" s="1241"/>
      <c r="AE83" s="1241"/>
      <c r="AF83" s="1241"/>
      <c r="AG83" s="1241"/>
      <c r="AH83" s="1241"/>
      <c r="AI83" s="1241"/>
      <c r="AJ83" s="1241"/>
      <c r="AK83" s="1241"/>
      <c r="AL83" s="1241"/>
    </row>
    <row r="84" spans="1:38">
      <c r="A84" s="439" t="str">
        <f ca="1">[10]résultats!$W$84</f>
        <v>Mierzwa Julien</v>
      </c>
      <c r="B84" s="439">
        <f ca="1">[10]résultats!$Y$84</f>
        <v>7</v>
      </c>
      <c r="C84" s="439">
        <f ca="1">[10]résultats!$Z$84</f>
        <v>15</v>
      </c>
      <c r="D84" s="440">
        <f t="shared" ca="1" si="4"/>
        <v>0.46666666666666667</v>
      </c>
      <c r="E84" s="506" t="str">
        <f ca="1">'[10]résultats commentaires'!B109</f>
        <v>-</v>
      </c>
      <c r="F84" s="442" t="str">
        <f ca="1">'[10]résultats commentaires'!C109</f>
        <v>ES PLESCOP TT 5</v>
      </c>
      <c r="G84" s="443">
        <f ca="1">'[10]résultats commentaires'!D109</f>
        <v>15.000027749451164</v>
      </c>
      <c r="H84" s="444">
        <f ca="1">'[10]résultats commentaires'!E109</f>
        <v>7</v>
      </c>
      <c r="I84" s="444">
        <f ca="1">'[10]résultats commentaires'!F109</f>
        <v>4</v>
      </c>
      <c r="J84" s="444">
        <f ca="1">'[10]résultats commentaires'!G109</f>
        <v>0</v>
      </c>
      <c r="K84" s="444">
        <f ca="1">'[10]résultats commentaires'!H109</f>
        <v>3</v>
      </c>
      <c r="L84" s="444">
        <f ca="1">'[10]résultats commentaires'!I109</f>
        <v>52</v>
      </c>
      <c r="M84" s="444">
        <f ca="1">'[10]résultats commentaires'!J109</f>
        <v>46</v>
      </c>
      <c r="Z84" s="1241"/>
      <c r="AA84" s="1241"/>
      <c r="AB84" s="1241"/>
      <c r="AC84" s="1241"/>
      <c r="AD84" s="1241"/>
      <c r="AE84" s="1241"/>
      <c r="AF84" s="1241"/>
      <c r="AG84" s="1241"/>
      <c r="AH84" s="1241"/>
      <c r="AI84" s="1241"/>
      <c r="AJ84" s="1241"/>
      <c r="AK84" s="1241"/>
      <c r="AL84" s="1241"/>
    </row>
    <row r="85" spans="1:38" ht="15" customHeight="1">
      <c r="A85" s="439" t="str">
        <f ca="1">[10]résultats!$W$85</f>
        <v>Colombel Guy</v>
      </c>
      <c r="B85" s="439">
        <f ca="1">[10]résultats!$Y$85</f>
        <v>7</v>
      </c>
      <c r="C85" s="439">
        <f ca="1">[10]résultats!$Z$85</f>
        <v>12</v>
      </c>
      <c r="D85" s="440">
        <f t="shared" ca="1" si="4"/>
        <v>0.58333333333333337</v>
      </c>
      <c r="E85" s="506" t="str">
        <f ca="1">'[10]résultats commentaires'!B110</f>
        <v>-</v>
      </c>
      <c r="F85" s="519" t="str">
        <f ca="1">'[10]résultats commentaires'!C110</f>
        <v>BO QUESTEMBERT 2</v>
      </c>
      <c r="G85" s="443">
        <f ca="1">'[10]résultats commentaires'!D110</f>
        <v>15.000002994249906</v>
      </c>
      <c r="H85" s="444">
        <f ca="1">'[10]résultats commentaires'!E110</f>
        <v>7</v>
      </c>
      <c r="I85" s="444">
        <f ca="1">'[10]résultats commentaires'!F110</f>
        <v>4</v>
      </c>
      <c r="J85" s="444">
        <f ca="1">'[10]résultats commentaires'!G110</f>
        <v>0</v>
      </c>
      <c r="K85" s="444">
        <f ca="1">'[10]résultats commentaires'!H110</f>
        <v>3</v>
      </c>
      <c r="L85" s="444">
        <f ca="1">'[10]résultats commentaires'!I110</f>
        <v>53</v>
      </c>
      <c r="M85" s="444">
        <f ca="1">'[10]résultats commentaires'!J110</f>
        <v>45</v>
      </c>
      <c r="Z85" s="1241"/>
      <c r="AA85" s="1241"/>
      <c r="AB85" s="1241"/>
      <c r="AC85" s="1241"/>
      <c r="AD85" s="1241"/>
      <c r="AE85" s="1241"/>
      <c r="AF85" s="1241"/>
      <c r="AG85" s="1241"/>
      <c r="AH85" s="1241"/>
      <c r="AI85" s="1241"/>
      <c r="AJ85" s="1241"/>
      <c r="AK85" s="1241"/>
      <c r="AL85" s="1241"/>
    </row>
    <row r="86" spans="1:38" ht="15.75" customHeight="1">
      <c r="A86" s="439" t="str">
        <f ca="1">[10]résultats!$W$86</f>
        <v>Couture Christophe</v>
      </c>
      <c r="B86" s="439">
        <f ca="1">[10]résultats!$Y$86</f>
        <v>5</v>
      </c>
      <c r="C86" s="439">
        <f ca="1">[10]résultats!$Z$86</f>
        <v>9</v>
      </c>
      <c r="D86" s="440">
        <f t="shared" ca="1" si="4"/>
        <v>0.55555555555555558</v>
      </c>
      <c r="E86" s="506">
        <f ca="1">'[10]résultats commentaires'!B111</f>
        <v>5</v>
      </c>
      <c r="F86" s="519" t="str">
        <f ca="1">'[10]résultats commentaires'!C111</f>
        <v>ASPTT VANNES 4</v>
      </c>
      <c r="G86" s="443">
        <f ca="1">'[10]résultats commentaires'!D111</f>
        <v>14.000007449119323</v>
      </c>
      <c r="H86" s="444">
        <f ca="1">'[10]résultats commentaires'!E111</f>
        <v>7</v>
      </c>
      <c r="I86" s="444">
        <f ca="1">'[10]résultats commentaires'!F111</f>
        <v>3</v>
      </c>
      <c r="J86" s="444">
        <f ca="1">'[10]résultats commentaires'!G111</f>
        <v>1</v>
      </c>
      <c r="K86" s="444">
        <f ca="1">'[10]résultats commentaires'!H111</f>
        <v>3</v>
      </c>
      <c r="L86" s="444">
        <f ca="1">'[10]résultats commentaires'!I111</f>
        <v>49</v>
      </c>
      <c r="M86" s="444">
        <f ca="1">'[10]résultats commentaires'!J111</f>
        <v>49</v>
      </c>
      <c r="Z86" s="432"/>
      <c r="AA86" s="433"/>
      <c r="AB86" s="433"/>
      <c r="AC86" s="434"/>
      <c r="AD86" s="435"/>
      <c r="AE86" s="436"/>
      <c r="AF86" s="437"/>
      <c r="AG86" s="437"/>
      <c r="AH86" s="438"/>
      <c r="AI86" s="438"/>
      <c r="AJ86" s="438"/>
      <c r="AK86" s="438"/>
      <c r="AL86" s="438"/>
    </row>
    <row r="87" spans="1:38">
      <c r="A87" s="439" t="str">
        <f ca="1">[10]résultats!$W$87</f>
        <v>Morin Quentin</v>
      </c>
      <c r="B87" s="439">
        <f ca="1">[10]résultats!$Y$87</f>
        <v>2</v>
      </c>
      <c r="C87" s="439">
        <f ca="1">[10]résultats!$Z$87</f>
        <v>3</v>
      </c>
      <c r="D87" s="440">
        <f t="shared" ca="1" si="4"/>
        <v>0.66666666666666663</v>
      </c>
      <c r="E87" s="506">
        <f ca="1">'[10]résultats commentaires'!B112</f>
        <v>6</v>
      </c>
      <c r="F87" s="442" t="str">
        <f ca="1">'[10]résultats commentaires'!C112</f>
        <v>AO ST-NOLFF 1</v>
      </c>
      <c r="G87" s="443">
        <f ca="1">'[10]résultats commentaires'!D112</f>
        <v>13.000034602274029</v>
      </c>
      <c r="H87" s="444">
        <f ca="1">'[10]résultats commentaires'!E112</f>
        <v>7</v>
      </c>
      <c r="I87" s="444">
        <f ca="1">'[10]résultats commentaires'!F112</f>
        <v>3</v>
      </c>
      <c r="J87" s="444">
        <f ca="1">'[10]résultats commentaires'!G112</f>
        <v>0</v>
      </c>
      <c r="K87" s="444">
        <f ca="1">'[10]résultats commentaires'!H112</f>
        <v>4</v>
      </c>
      <c r="L87" s="444">
        <f ca="1">'[10]résultats commentaires'!I112</f>
        <v>45</v>
      </c>
      <c r="M87" s="444">
        <f ca="1">'[10]résultats commentaires'!J112</f>
        <v>53</v>
      </c>
      <c r="Z87" s="445"/>
      <c r="AA87" s="445"/>
      <c r="AB87" s="445"/>
      <c r="AC87" s="446"/>
      <c r="AD87" s="438"/>
      <c r="AE87" s="447"/>
      <c r="AF87" s="448"/>
      <c r="AG87" s="449"/>
      <c r="AH87" s="449"/>
      <c r="AI87" s="449"/>
      <c r="AJ87" s="449"/>
      <c r="AK87" s="449"/>
      <c r="AL87" s="449"/>
    </row>
    <row r="88" spans="1:38">
      <c r="A88" s="450" t="str">
        <f ca="1">[10]résultats!$W$88</f>
        <v>Morin Léa</v>
      </c>
      <c r="B88" s="450">
        <f ca="1">[10]résultats!$Y$88</f>
        <v>1</v>
      </c>
      <c r="C88" s="450">
        <f ca="1">[10]résultats!$Z$88</f>
        <v>3</v>
      </c>
      <c r="D88" s="451">
        <f t="shared" ca="1" si="4"/>
        <v>0.33333333333333331</v>
      </c>
      <c r="E88" s="506">
        <f ca="1">'[10]résultats commentaires'!B113</f>
        <v>7</v>
      </c>
      <c r="F88" s="442" t="str">
        <f ca="1">'[10]résultats commentaires'!C113</f>
        <v>MUZILLAC TT 4</v>
      </c>
      <c r="G88" s="443">
        <f ca="1">'[10]résultats commentaires'!D113</f>
        <v>12.000071735061708</v>
      </c>
      <c r="H88" s="444">
        <f ca="1">'[10]résultats commentaires'!E113</f>
        <v>7</v>
      </c>
      <c r="I88" s="444">
        <f ca="1">'[10]résultats commentaires'!F113</f>
        <v>2</v>
      </c>
      <c r="J88" s="444">
        <f ca="1">'[10]résultats commentaires'!G113</f>
        <v>1</v>
      </c>
      <c r="K88" s="444">
        <f ca="1">'[10]résultats commentaires'!H113</f>
        <v>4</v>
      </c>
      <c r="L88" s="444">
        <f ca="1">'[10]résultats commentaires'!I113</f>
        <v>51</v>
      </c>
      <c r="M88" s="444">
        <f ca="1">'[10]résultats commentaires'!J113</f>
        <v>47</v>
      </c>
      <c r="Z88" s="445"/>
      <c r="AA88" s="445"/>
      <c r="AB88" s="445"/>
      <c r="AC88" s="446"/>
      <c r="AD88" s="438"/>
      <c r="AE88" s="447"/>
      <c r="AF88" s="448"/>
      <c r="AG88" s="449"/>
      <c r="AH88" s="449"/>
      <c r="AI88" s="449"/>
      <c r="AJ88" s="449"/>
      <c r="AK88" s="449"/>
      <c r="AL88" s="449"/>
    </row>
    <row r="89" spans="1:38">
      <c r="A89" s="450" t="str">
        <f ca="1">[10]résultats!$W$89</f>
        <v/>
      </c>
      <c r="B89" s="450" t="str">
        <f ca="1">[10]résultats!$Y$89</f>
        <v/>
      </c>
      <c r="C89" s="450" t="str">
        <f ca="1">[10]résultats!$Z$89</f>
        <v/>
      </c>
      <c r="D89" s="451" t="str">
        <f t="shared" ca="1" si="4"/>
        <v/>
      </c>
      <c r="E89" s="506">
        <f ca="1">'[10]résultats commentaires'!B114</f>
        <v>8</v>
      </c>
      <c r="F89" s="442" t="str">
        <f ca="1">'[10]résultats commentaires'!C114</f>
        <v>RAQ GUEGON 1</v>
      </c>
      <c r="G89" s="443">
        <f ca="1">'[10]résultats commentaires'!D114</f>
        <v>11.000097049197528</v>
      </c>
      <c r="H89" s="444">
        <f ca="1">'[10]résultats commentaires'!E114</f>
        <v>7</v>
      </c>
      <c r="I89" s="444">
        <f ca="1">'[10]résultats commentaires'!F114</f>
        <v>2</v>
      </c>
      <c r="J89" s="444">
        <f ca="1">'[10]résultats commentaires'!G114</f>
        <v>0</v>
      </c>
      <c r="K89" s="444">
        <f ca="1">'[10]résultats commentaires'!H114</f>
        <v>5</v>
      </c>
      <c r="L89" s="444">
        <f ca="1">'[10]résultats commentaires'!I114</f>
        <v>35</v>
      </c>
      <c r="M89" s="444">
        <f ca="1">'[10]résultats commentaires'!J114</f>
        <v>63</v>
      </c>
      <c r="Z89" s="445"/>
      <c r="AA89" s="445"/>
      <c r="AB89" s="445"/>
      <c r="AC89" s="446"/>
      <c r="AD89" s="438"/>
      <c r="AE89" s="447"/>
      <c r="AF89" s="448"/>
      <c r="AG89" s="449"/>
      <c r="AH89" s="449"/>
      <c r="AI89" s="449"/>
      <c r="AJ89" s="449"/>
      <c r="AK89" s="449"/>
      <c r="AL89" s="449"/>
    </row>
    <row r="90" spans="1:38">
      <c r="A90" s="450" t="str">
        <f ca="1">[10]résultats!$W$90</f>
        <v/>
      </c>
      <c r="B90" s="450" t="str">
        <f ca="1">[10]résultats!$Y$90</f>
        <v/>
      </c>
      <c r="C90" s="450" t="str">
        <f ca="1">[10]résultats!$Z$90</f>
        <v/>
      </c>
      <c r="D90" s="451" t="str">
        <f t="shared" ca="1" si="4"/>
        <v/>
      </c>
      <c r="E90" s="458" t="str">
        <f ca="1">[10]équipes!H4&amp;" en fin de phase contre "</f>
        <v xml:space="preserve">44 ans et 943 pts de moy. en fin de phase contre </v>
      </c>
      <c r="F90" s="520"/>
      <c r="G90" s="459"/>
      <c r="H90" s="459"/>
      <c r="I90" s="459"/>
      <c r="J90" s="459"/>
      <c r="K90" s="459"/>
      <c r="L90" s="459"/>
      <c r="M90" s="351"/>
      <c r="Z90" s="445"/>
      <c r="AA90" s="445"/>
      <c r="AB90" s="445"/>
      <c r="AC90" s="446"/>
      <c r="AD90" s="438"/>
      <c r="AE90" s="447"/>
      <c r="AF90" s="448"/>
      <c r="AG90" s="449"/>
      <c r="AH90" s="449"/>
      <c r="AI90" s="449"/>
      <c r="AJ90" s="449"/>
      <c r="AK90" s="449"/>
      <c r="AL90" s="449"/>
    </row>
    <row r="91" spans="1:38">
      <c r="A91" s="466" t="s">
        <v>435</v>
      </c>
      <c r="B91" s="467">
        <f ca="1">IF([10]résultats!$BD$1&lt;=7,VLOOKUP(N20,F82:M89,7,FALSE)-SUM(B82:B90),VLOOKUP(N20,[10]clt!AW30:BD37,7,FALSE)-SUM(B82:B90))</f>
        <v>7</v>
      </c>
      <c r="C91" s="467">
        <f ca="1">IF([10]résultats!$BD$1&lt;=7,VLOOKUP(N20,F82:H89,3,FALSE)*2,VLOOKUP(N20,[10]clt!AW30:BD37,3,FALSE)*2)</f>
        <v>14</v>
      </c>
      <c r="D91" s="468">
        <f ca="1">IF(C91="","",B91/C91)</f>
        <v>0.5</v>
      </c>
      <c r="E91" s="462" t="str">
        <f ca="1">ROUND(SUM('[10]résultats commentaires'!K94:K102)/COUNT('[10]résultats commentaires'!K94:K102),0)&amp; " points de moyenne en début de phase."</f>
        <v>964 points de moyenne en début de phase.</v>
      </c>
      <c r="F91" s="463"/>
      <c r="G91" s="463"/>
      <c r="H91" s="463"/>
      <c r="I91" s="463"/>
      <c r="J91" s="464" t="s">
        <v>441</v>
      </c>
      <c r="K91" s="463"/>
      <c r="L91" s="463"/>
      <c r="M91" s="465"/>
      <c r="Z91" s="456"/>
      <c r="AA91" s="456"/>
      <c r="AB91" s="456"/>
      <c r="AC91" s="457"/>
      <c r="AD91" s="438"/>
      <c r="AE91" s="447"/>
      <c r="AF91" s="448"/>
      <c r="AG91" s="449"/>
      <c r="AH91" s="449"/>
      <c r="AI91" s="449"/>
      <c r="AJ91" s="449"/>
      <c r="AK91" s="449"/>
      <c r="AL91" s="449"/>
    </row>
    <row r="92" spans="1:38" ht="18" customHeight="1">
      <c r="A92" s="478" t="s">
        <v>156</v>
      </c>
      <c r="B92" s="479">
        <f ca="1">SUM(B82:B91)</f>
        <v>51</v>
      </c>
      <c r="C92" s="479">
        <f ca="1">SUM(C82:C91)</f>
        <v>95</v>
      </c>
      <c r="D92" s="480">
        <f ca="1">IF(C92="","",B92/C92)</f>
        <v>0.5368421052631579</v>
      </c>
      <c r="E92" s="469" t="str">
        <f>IF($F$12="",'[10]résultats des équipes'!X90,'[10]résultats des équipes'!X97)</f>
        <v>Vict 9 - 5</v>
      </c>
      <c r="F92" s="470" t="str">
        <f>IF($F$12="",'[10]résultats des équipes'!Z90,'[10]résultats des équipes'!Z97)</f>
        <v>L. PLOERMEL 4</v>
      </c>
      <c r="G92" s="513"/>
      <c r="H92" s="472"/>
      <c r="I92" s="472"/>
      <c r="J92" s="472"/>
      <c r="K92" s="472"/>
      <c r="L92" s="472"/>
      <c r="M92" s="473"/>
      <c r="Z92" s="456"/>
      <c r="AA92" s="456"/>
      <c r="AB92" s="456"/>
      <c r="AC92" s="457"/>
      <c r="AD92" s="452"/>
      <c r="AE92" s="453"/>
      <c r="AF92" s="454"/>
      <c r="AG92" s="455"/>
      <c r="AH92" s="455"/>
      <c r="AI92" s="455"/>
      <c r="AJ92" s="455"/>
      <c r="AK92" s="455"/>
      <c r="AL92" s="455"/>
    </row>
    <row r="93" spans="1:38" ht="15" customHeight="1">
      <c r="A93" s="1205" t="s">
        <v>442</v>
      </c>
      <c r="B93" s="1192"/>
      <c r="C93" s="1192"/>
      <c r="D93" s="1192"/>
      <c r="E93" s="474" t="str">
        <f>IF($F$12="",'[10]résultats des équipes'!X91,'[10]résultats des équipes'!X98)</f>
        <v>Déf 8 - 6</v>
      </c>
      <c r="F93" s="475" t="str">
        <f>IF($F$12="",'[10]résultats des équipes'!Z91,'[10]résultats des équipes'!Z98)</f>
        <v>RAQ GUEGON 1</v>
      </c>
      <c r="G93" s="510"/>
      <c r="H93" s="472"/>
      <c r="I93" s="472"/>
      <c r="J93" s="472"/>
      <c r="K93" s="472"/>
      <c r="L93" s="472"/>
      <c r="M93" s="473"/>
      <c r="Z93" s="456"/>
      <c r="AA93" s="456"/>
      <c r="AB93" s="456"/>
      <c r="AC93" s="457"/>
      <c r="AD93" s="438"/>
      <c r="AE93" s="447"/>
      <c r="AF93" s="448"/>
      <c r="AG93" s="449"/>
      <c r="AH93" s="449"/>
      <c r="AI93" s="449"/>
      <c r="AJ93" s="449"/>
      <c r="AK93" s="449"/>
      <c r="AL93" s="449"/>
    </row>
    <row r="94" spans="1:38" ht="15" customHeight="1">
      <c r="A94" s="1191"/>
      <c r="B94" s="1192"/>
      <c r="C94" s="1192"/>
      <c r="D94" s="1192"/>
      <c r="E94" s="474" t="str">
        <f>IF($F$12="",'[10]résultats des équipes'!X92,'[10]résultats des équipes'!X99)</f>
        <v>Vict 12 - 2</v>
      </c>
      <c r="F94" s="475" t="str">
        <f>IF($F$12="",'[10]résultats des équipes'!Z92,'[10]résultats des équipes'!Z99)</f>
        <v>AO ST-NOLFF 1</v>
      </c>
      <c r="G94" s="510"/>
      <c r="H94" s="472"/>
      <c r="I94" s="472"/>
      <c r="J94" s="472"/>
      <c r="K94" s="472"/>
      <c r="L94" s="472"/>
      <c r="M94" s="473"/>
      <c r="Z94" s="456"/>
      <c r="AA94" s="456"/>
      <c r="AB94" s="456"/>
      <c r="AC94" s="457"/>
      <c r="AD94" s="438"/>
      <c r="AE94" s="447"/>
      <c r="AF94" s="448"/>
      <c r="AG94" s="449"/>
      <c r="AH94" s="449"/>
      <c r="AI94" s="449"/>
      <c r="AJ94" s="449"/>
      <c r="AK94" s="449"/>
      <c r="AL94" s="449"/>
    </row>
    <row r="95" spans="1:38" ht="12.75" customHeight="1">
      <c r="A95" s="1191"/>
      <c r="B95" s="1192"/>
      <c r="C95" s="1192"/>
      <c r="D95" s="1192"/>
      <c r="E95" s="474" t="str">
        <f>IF($F$12="",'[10]résultats des équipes'!X93,'[10]résultats des équipes'!X100)</f>
        <v>Déf 9 - 5</v>
      </c>
      <c r="F95" s="475" t="str">
        <f>IF($F$12="",'[10]résultats des équipes'!Z93,'[10]résultats des équipes'!Z100)</f>
        <v>ES PLESCOP TT 5</v>
      </c>
      <c r="G95" s="510"/>
      <c r="H95" s="472"/>
      <c r="I95" s="472"/>
      <c r="J95" s="472"/>
      <c r="K95" s="472"/>
      <c r="L95" s="472"/>
      <c r="M95" s="473"/>
      <c r="Z95" s="456"/>
      <c r="AA95" s="456"/>
      <c r="AB95" s="456"/>
      <c r="AC95" s="457"/>
      <c r="AD95" s="474"/>
      <c r="AE95" s="475"/>
      <c r="AF95" s="1215"/>
      <c r="AG95" s="1216"/>
      <c r="AH95" s="1216"/>
      <c r="AI95" s="1216"/>
      <c r="AJ95" s="1216"/>
      <c r="AK95" s="1216"/>
      <c r="AL95" s="1216"/>
    </row>
    <row r="96" spans="1:38" ht="12" customHeight="1">
      <c r="A96" s="1191"/>
      <c r="B96" s="1192"/>
      <c r="C96" s="1192"/>
      <c r="D96" s="1192"/>
      <c r="E96" s="474" t="str">
        <f>IF($F$12="",'[10]résultats des équipes'!X94,'[10]résultats des équipes'!X101)</f>
        <v>Déf 8 - 6</v>
      </c>
      <c r="F96" s="475" t="str">
        <f>IF($F$12="",'[10]résultats des équipes'!Z94,'[10]résultats des équipes'!Z101)</f>
        <v>US ST-ABRAHAM 2</v>
      </c>
      <c r="G96" s="510"/>
      <c r="H96" s="472"/>
      <c r="I96" s="472"/>
      <c r="J96" s="472"/>
      <c r="K96" s="472"/>
      <c r="L96" s="472"/>
      <c r="M96" s="473"/>
      <c r="Z96" s="456"/>
      <c r="AA96" s="456"/>
      <c r="AB96" s="456"/>
      <c r="AC96" s="457"/>
      <c r="AD96" s="474"/>
      <c r="AE96" s="475"/>
      <c r="AF96" s="1216"/>
      <c r="AG96" s="1216"/>
      <c r="AH96" s="1216"/>
      <c r="AI96" s="1216"/>
      <c r="AJ96" s="1216"/>
      <c r="AK96" s="1216"/>
      <c r="AL96" s="1216"/>
    </row>
    <row r="97" spans="1:38" ht="15" customHeight="1">
      <c r="A97" s="1191"/>
      <c r="B97" s="1192"/>
      <c r="C97" s="1192"/>
      <c r="D97" s="1192"/>
      <c r="E97" s="484" t="str">
        <f>IF($F$12="",'[10]résultats des équipes'!X95,'[10]résultats des équipes'!X102)</f>
        <v>Déf 8 - 6</v>
      </c>
      <c r="F97" s="485" t="str">
        <f>IF($F$12="",'[10]résultats des équipes'!Z95,'[10]résultats des équipes'!Z102)</f>
        <v>BO QUESTEMBERT 2</v>
      </c>
      <c r="G97" s="510"/>
      <c r="H97" s="493"/>
      <c r="I97" s="493"/>
      <c r="J97" s="493"/>
      <c r="K97" s="493"/>
      <c r="L97" s="493"/>
      <c r="M97" s="494"/>
      <c r="Z97" s="456"/>
      <c r="AA97" s="456"/>
      <c r="AB97" s="456"/>
      <c r="AC97" s="457"/>
      <c r="AD97" s="460"/>
      <c r="AE97" s="461"/>
      <c r="AF97" s="476"/>
      <c r="AG97" s="477"/>
      <c r="AH97" s="459"/>
      <c r="AI97" s="477"/>
      <c r="AJ97" s="459"/>
      <c r="AK97" s="459"/>
      <c r="AL97" s="340"/>
    </row>
    <row r="98" spans="1:38" ht="15" customHeight="1">
      <c r="A98" s="1193"/>
      <c r="B98" s="1194"/>
      <c r="C98" s="1194"/>
      <c r="D98" s="1194"/>
      <c r="E98" s="498" t="str">
        <f>IF($F$12="",'[10]résultats des équipes'!X96,'[10]résultats des équipes'!X103)</f>
        <v>Nul 7 - 7</v>
      </c>
      <c r="F98" s="499" t="str">
        <f>IF($F$12="",'[10]résultats des équipes'!Z96,'[10]résultats des équipes'!Z103)</f>
        <v>ASPTT VANNES 4</v>
      </c>
      <c r="G98" s="510"/>
      <c r="H98" s="493"/>
      <c r="I98" s="493"/>
      <c r="J98" s="493"/>
      <c r="K98" s="493"/>
      <c r="L98" s="493"/>
      <c r="M98" s="494"/>
      <c r="Z98" s="456"/>
      <c r="AA98" s="456"/>
      <c r="AB98" s="456"/>
      <c r="AC98" s="457"/>
      <c r="AD98" s="460"/>
      <c r="AE98" s="461"/>
      <c r="AF98" s="477"/>
      <c r="AG98" s="477"/>
      <c r="AH98" s="459"/>
      <c r="AI98" s="477"/>
      <c r="AJ98" s="459"/>
      <c r="AK98" s="459"/>
      <c r="AL98" s="340"/>
    </row>
    <row r="99" spans="1:38" ht="15" customHeight="1">
      <c r="A99" s="1242"/>
      <c r="B99" s="1243"/>
      <c r="C99" s="1243"/>
      <c r="D99" s="1243"/>
      <c r="E99" s="1243"/>
      <c r="F99" s="1243"/>
      <c r="G99" s="1243"/>
      <c r="H99" s="1243"/>
      <c r="I99" s="1243"/>
      <c r="J99" s="1243"/>
      <c r="K99" s="1243"/>
      <c r="L99" s="1243"/>
      <c r="M99" s="1244"/>
      <c r="Z99" s="456"/>
      <c r="AA99" s="456"/>
      <c r="AB99" s="456"/>
      <c r="AC99" s="457"/>
      <c r="AD99" s="460"/>
      <c r="AE99" s="461"/>
      <c r="AF99" s="477"/>
      <c r="AG99" s="477"/>
      <c r="AH99" s="459"/>
      <c r="AI99" s="477"/>
      <c r="AJ99" s="459"/>
      <c r="AK99" s="459"/>
      <c r="AL99" s="340"/>
    </row>
    <row r="100" spans="1:38" ht="15" hidden="1" customHeight="1">
      <c r="A100" s="1245"/>
      <c r="B100" s="1216"/>
      <c r="C100" s="1216"/>
      <c r="D100" s="1216"/>
      <c r="E100" s="1216"/>
      <c r="F100" s="1216"/>
      <c r="G100" s="1216"/>
      <c r="H100" s="1216"/>
      <c r="I100" s="1216"/>
      <c r="J100" s="1216"/>
      <c r="K100" s="1216"/>
      <c r="L100" s="1216"/>
      <c r="M100" s="1246"/>
      <c r="Z100" s="481"/>
      <c r="AA100" s="482"/>
      <c r="AB100" s="482"/>
      <c r="AC100" s="483"/>
      <c r="AD100" s="474"/>
      <c r="AE100" s="475"/>
      <c r="AF100" s="477"/>
      <c r="AG100" s="486"/>
      <c r="AH100" s="459"/>
      <c r="AI100" s="487"/>
      <c r="AJ100" s="459"/>
      <c r="AK100" s="459"/>
      <c r="AL100" s="340"/>
    </row>
    <row r="101" spans="1:38" ht="50.25" hidden="1" customHeight="1">
      <c r="A101" s="1247"/>
      <c r="B101" s="1248"/>
      <c r="C101" s="1248"/>
      <c r="D101" s="1248"/>
      <c r="E101" s="1248"/>
      <c r="F101" s="1248"/>
      <c r="G101" s="1248"/>
      <c r="H101" s="1248"/>
      <c r="I101" s="1248"/>
      <c r="J101" s="1248"/>
      <c r="K101" s="1248"/>
      <c r="L101" s="1248"/>
      <c r="M101" s="1249"/>
      <c r="Z101" s="512"/>
      <c r="AA101" s="496"/>
      <c r="AB101" s="496"/>
      <c r="AC101" s="497"/>
      <c r="AD101" s="460"/>
      <c r="AE101" s="461"/>
      <c r="AF101" s="459"/>
      <c r="AG101" s="459"/>
      <c r="AH101" s="459"/>
      <c r="AI101" s="459"/>
      <c r="AJ101" s="459"/>
      <c r="AK101" s="459"/>
      <c r="AL101" s="340"/>
    </row>
    <row r="102" spans="1:38" ht="15" customHeight="1">
      <c r="A102" s="422" t="s">
        <v>431</v>
      </c>
      <c r="B102" s="423" t="s">
        <v>15</v>
      </c>
      <c r="C102" s="423" t="s">
        <v>348</v>
      </c>
      <c r="D102" s="424" t="s">
        <v>432</v>
      </c>
      <c r="E102" s="425" t="s">
        <v>17</v>
      </c>
      <c r="F102" s="426" t="str">
        <f ca="1">P21</f>
        <v>MTT 5: D3   E</v>
      </c>
      <c r="G102" s="427" t="s">
        <v>172</v>
      </c>
      <c r="H102" s="427" t="s">
        <v>433</v>
      </c>
      <c r="I102" s="428" t="s">
        <v>397</v>
      </c>
      <c r="J102" s="428" t="s">
        <v>174</v>
      </c>
      <c r="K102" s="428" t="s">
        <v>175</v>
      </c>
      <c r="L102" s="428" t="s">
        <v>176</v>
      </c>
      <c r="M102" s="428" t="s">
        <v>177</v>
      </c>
      <c r="Z102" s="518"/>
      <c r="AA102" s="496"/>
      <c r="AB102" s="496"/>
      <c r="AC102" s="497"/>
      <c r="AD102" s="459"/>
      <c r="AE102" s="459"/>
      <c r="AF102" s="459"/>
      <c r="AG102" s="459"/>
      <c r="AH102" s="459"/>
      <c r="AI102" s="459"/>
      <c r="AJ102" s="459"/>
      <c r="AK102" s="459"/>
      <c r="AL102" s="340"/>
    </row>
    <row r="103" spans="1:38" ht="15" customHeight="1">
      <c r="A103" s="439" t="str">
        <f ca="1">[10]résultats!$AD$82</f>
        <v>Allano Antoine</v>
      </c>
      <c r="B103" s="439">
        <f ca="1">[10]résultats!$AF$82</f>
        <v>6</v>
      </c>
      <c r="C103" s="439">
        <f ca="1">[10]résultats!$AG$82</f>
        <v>18</v>
      </c>
      <c r="D103" s="440">
        <f t="shared" ref="D103:D111" ca="1" si="5">IF(C103="","",B103/C103)</f>
        <v>0.33333333333333331</v>
      </c>
      <c r="E103" s="506">
        <f>'[10]résultats commentaires'!B130</f>
        <v>1</v>
      </c>
      <c r="F103" s="442" t="str">
        <f ca="1">'[10]résultats commentaires'!C130</f>
        <v>BAUD TT 1</v>
      </c>
      <c r="G103" s="443">
        <f ca="1">'[10]résultats commentaires'!D130</f>
        <v>21.000076172321862</v>
      </c>
      <c r="H103" s="444">
        <f ca="1">'[10]résultats commentaires'!E130</f>
        <v>7</v>
      </c>
      <c r="I103" s="444">
        <f ca="1">'[10]résultats commentaires'!F130</f>
        <v>7</v>
      </c>
      <c r="J103" s="444">
        <f ca="1">'[10]résultats commentaires'!G130</f>
        <v>0</v>
      </c>
      <c r="K103" s="444">
        <f ca="1">'[10]résultats commentaires'!H130</f>
        <v>0</v>
      </c>
      <c r="L103" s="444">
        <f ca="1">'[10]résultats commentaires'!I130</f>
        <v>75</v>
      </c>
      <c r="M103" s="444">
        <f ca="1">'[10]résultats commentaires'!J130</f>
        <v>23</v>
      </c>
      <c r="Z103" s="495"/>
      <c r="AA103" s="496"/>
      <c r="AB103" s="496"/>
      <c r="AC103" s="497"/>
      <c r="AD103" s="459"/>
      <c r="AE103" s="459"/>
      <c r="AF103" s="459"/>
      <c r="AG103" s="459"/>
      <c r="AH103" s="459"/>
      <c r="AI103" s="459"/>
      <c r="AJ103" s="459"/>
      <c r="AK103" s="459"/>
      <c r="AL103" s="340"/>
    </row>
    <row r="104" spans="1:38">
      <c r="A104" s="439" t="str">
        <f ca="1">[10]résultats!$AD$83</f>
        <v>Le Cam Alan</v>
      </c>
      <c r="B104" s="439">
        <f ca="1">[10]résultats!$AF$83</f>
        <v>7</v>
      </c>
      <c r="C104" s="439">
        <f ca="1">[10]résultats!$AG$83</f>
        <v>18</v>
      </c>
      <c r="D104" s="440">
        <f t="shared" ca="1" si="5"/>
        <v>0.3888888888888889</v>
      </c>
      <c r="E104" s="506">
        <f ca="1">'[10]résultats commentaires'!B131</f>
        <v>2</v>
      </c>
      <c r="F104" s="442" t="str">
        <f ca="1">'[10]résultats commentaires'!C131</f>
        <v>TT RHUYS 2</v>
      </c>
      <c r="G104" s="443">
        <f ca="1">'[10]résultats commentaires'!D131</f>
        <v>15.000070500427565</v>
      </c>
      <c r="H104" s="444">
        <f ca="1">'[10]résultats commentaires'!E131</f>
        <v>7</v>
      </c>
      <c r="I104" s="444">
        <f ca="1">'[10]résultats commentaires'!F131</f>
        <v>4</v>
      </c>
      <c r="J104" s="444">
        <f ca="1">'[10]résultats commentaires'!G131</f>
        <v>0</v>
      </c>
      <c r="K104" s="444">
        <f ca="1">'[10]résultats commentaires'!H131</f>
        <v>3</v>
      </c>
      <c r="L104" s="444">
        <f ca="1">'[10]résultats commentaires'!I131</f>
        <v>53</v>
      </c>
      <c r="M104" s="444">
        <f ca="1">'[10]résultats commentaires'!J131</f>
        <v>45</v>
      </c>
      <c r="Z104" s="495"/>
      <c r="AA104" s="496"/>
      <c r="AB104" s="496"/>
      <c r="AC104" s="497"/>
      <c r="AD104" s="459"/>
      <c r="AE104" s="459"/>
      <c r="AF104" s="459"/>
      <c r="AG104" s="459"/>
      <c r="AH104" s="459"/>
      <c r="AI104" s="459"/>
      <c r="AJ104" s="459"/>
      <c r="AK104" s="459"/>
      <c r="AL104" s="340"/>
    </row>
    <row r="105" spans="1:38">
      <c r="A105" s="439" t="str">
        <f ca="1">[10]résultats!$AD$84</f>
        <v>Touche Rémy</v>
      </c>
      <c r="B105" s="439">
        <f ca="1">[10]résultats!$AF$84</f>
        <v>11</v>
      </c>
      <c r="C105" s="439">
        <f ca="1">[10]résultats!$AG$84</f>
        <v>15</v>
      </c>
      <c r="D105" s="440">
        <f t="shared" ca="1" si="5"/>
        <v>0.73333333333333328</v>
      </c>
      <c r="E105" s="506" t="str">
        <f ca="1">'[10]résultats commentaires'!B132</f>
        <v>-</v>
      </c>
      <c r="F105" s="442" t="str">
        <f ca="1">'[10]résultats commentaires'!C132</f>
        <v>MUZILLAC TT 5</v>
      </c>
      <c r="G105" s="443">
        <f ca="1">'[10]résultats commentaires'!D132</f>
        <v>15.000051858059065</v>
      </c>
      <c r="H105" s="444">
        <f ca="1">'[10]résultats commentaires'!E132</f>
        <v>7</v>
      </c>
      <c r="I105" s="444">
        <f ca="1">'[10]résultats commentaires'!F132</f>
        <v>4</v>
      </c>
      <c r="J105" s="444">
        <f ca="1">'[10]résultats commentaires'!G132</f>
        <v>0</v>
      </c>
      <c r="K105" s="444">
        <f ca="1">'[10]résultats commentaires'!H132</f>
        <v>3</v>
      </c>
      <c r="L105" s="444">
        <f ca="1">'[10]résultats commentaires'!I132</f>
        <v>54</v>
      </c>
      <c r="M105" s="444">
        <f ca="1">'[10]résultats commentaires'!J132</f>
        <v>44</v>
      </c>
      <c r="Z105" s="503"/>
      <c r="AA105" s="496"/>
      <c r="AB105" s="496"/>
      <c r="AC105" s="497"/>
      <c r="AD105" s="459"/>
      <c r="AE105" s="459"/>
      <c r="AF105" s="459"/>
      <c r="AG105" s="459"/>
      <c r="AH105" s="459"/>
      <c r="AI105" s="459"/>
      <c r="AJ105" s="459"/>
      <c r="AK105" s="459"/>
      <c r="AL105" s="340"/>
    </row>
    <row r="106" spans="1:38" ht="13.5" customHeight="1">
      <c r="A106" s="439" t="str">
        <f ca="1">[10]résultats!$AD$85</f>
        <v>Morin Léa</v>
      </c>
      <c r="B106" s="439">
        <f ca="1">[10]résultats!$AF$85</f>
        <v>11</v>
      </c>
      <c r="C106" s="439">
        <f ca="1">[10]résultats!$AG$85</f>
        <v>15</v>
      </c>
      <c r="D106" s="440">
        <f t="shared" ca="1" si="5"/>
        <v>0.73333333333333328</v>
      </c>
      <c r="E106" s="506">
        <f ca="1">'[10]résultats commentaires'!B133</f>
        <v>4</v>
      </c>
      <c r="F106" s="442" t="str">
        <f ca="1">'[10]résultats commentaires'!C133</f>
        <v>ES ST-AVE 2</v>
      </c>
      <c r="G106" s="443">
        <f ca="1">'[10]résultats commentaires'!D133</f>
        <v>14.000000929825426</v>
      </c>
      <c r="H106" s="444">
        <f ca="1">'[10]résultats commentaires'!E133</f>
        <v>7</v>
      </c>
      <c r="I106" s="444">
        <f ca="1">'[10]résultats commentaires'!F133</f>
        <v>3</v>
      </c>
      <c r="J106" s="444">
        <f ca="1">'[10]résultats commentaires'!G133</f>
        <v>1</v>
      </c>
      <c r="K106" s="444">
        <f ca="1">'[10]résultats commentaires'!H133</f>
        <v>3</v>
      </c>
      <c r="L106" s="444">
        <f ca="1">'[10]résultats commentaires'!I133</f>
        <v>47</v>
      </c>
      <c r="M106" s="444">
        <f ca="1">'[10]résultats commentaires'!J133</f>
        <v>51</v>
      </c>
      <c r="Z106" s="1250"/>
      <c r="AA106" s="1251"/>
      <c r="AB106" s="1251"/>
      <c r="AC106" s="1251"/>
      <c r="AD106" s="1251"/>
      <c r="AE106" s="1251"/>
      <c r="AF106" s="1251"/>
      <c r="AG106" s="1251"/>
      <c r="AH106" s="1251"/>
      <c r="AI106" s="1251"/>
      <c r="AJ106" s="1251"/>
      <c r="AK106" s="1251"/>
      <c r="AL106" s="1251"/>
    </row>
    <row r="107" spans="1:38" ht="15" customHeight="1">
      <c r="A107" s="439" t="str">
        <f ca="1">[10]résultats!$AD$86</f>
        <v>Vilain Benjamin</v>
      </c>
      <c r="B107" s="439">
        <f ca="1">[10]résultats!$AF$86</f>
        <v>11</v>
      </c>
      <c r="C107" s="439">
        <f ca="1">[10]résultats!$AG$86</f>
        <v>15</v>
      </c>
      <c r="D107" s="440">
        <f t="shared" ca="1" si="5"/>
        <v>0.73333333333333328</v>
      </c>
      <c r="E107" s="506">
        <f ca="1">'[10]résultats commentaires'!B134</f>
        <v>5</v>
      </c>
      <c r="F107" s="442" t="str">
        <f ca="1">'[10]résultats commentaires'!C134</f>
        <v>CTT MENIMUR 4</v>
      </c>
      <c r="G107" s="443">
        <f ca="1">'[10]résultats commentaires'!D134</f>
        <v>13.000019680761751</v>
      </c>
      <c r="H107" s="444">
        <f ca="1">'[10]résultats commentaires'!E134</f>
        <v>7</v>
      </c>
      <c r="I107" s="444">
        <f ca="1">'[10]résultats commentaires'!F134</f>
        <v>3</v>
      </c>
      <c r="J107" s="444">
        <f ca="1">'[10]résultats commentaires'!G134</f>
        <v>0</v>
      </c>
      <c r="K107" s="444">
        <f ca="1">'[10]résultats commentaires'!H134</f>
        <v>4</v>
      </c>
      <c r="L107" s="444">
        <f ca="1">'[10]résultats commentaires'!I134</f>
        <v>41</v>
      </c>
      <c r="M107" s="444">
        <f ca="1">'[10]résultats commentaires'!J134</f>
        <v>57</v>
      </c>
      <c r="Z107" s="1251"/>
      <c r="AA107" s="1251"/>
      <c r="AB107" s="1251"/>
      <c r="AC107" s="1251"/>
      <c r="AD107" s="1251"/>
      <c r="AE107" s="1251"/>
      <c r="AF107" s="1251"/>
      <c r="AG107" s="1251"/>
      <c r="AH107" s="1251"/>
      <c r="AI107" s="1251"/>
      <c r="AJ107" s="1251"/>
      <c r="AK107" s="1251"/>
      <c r="AL107" s="1251"/>
    </row>
    <row r="108" spans="1:38" ht="15" customHeight="1">
      <c r="A108" s="450" t="str">
        <f ca="1">[10]résultats!$AD$87</f>
        <v>Le Cam Corentin</v>
      </c>
      <c r="B108" s="450">
        <f ca="1">[10]résultats!$AF$87</f>
        <v>0</v>
      </c>
      <c r="C108" s="450">
        <f ca="1">[10]résultats!$AG$87</f>
        <v>3</v>
      </c>
      <c r="D108" s="451">
        <f t="shared" ca="1" si="5"/>
        <v>0</v>
      </c>
      <c r="E108" s="506">
        <f ca="1">'[10]résultats commentaires'!B135</f>
        <v>6</v>
      </c>
      <c r="F108" s="442" t="str">
        <f ca="1">'[10]résultats commentaires'!C135</f>
        <v>PLUNERET/MERIAD 3</v>
      </c>
      <c r="G108" s="443">
        <f ca="1">'[10]résultats commentaires'!D135</f>
        <v>10.000051273234616</v>
      </c>
      <c r="H108" s="444">
        <f ca="1">'[10]résultats commentaires'!E135</f>
        <v>7</v>
      </c>
      <c r="I108" s="444">
        <f ca="1">'[10]résultats commentaires'!F135</f>
        <v>1</v>
      </c>
      <c r="J108" s="444">
        <f ca="1">'[10]résultats commentaires'!G135</f>
        <v>1</v>
      </c>
      <c r="K108" s="444">
        <f ca="1">'[10]résultats commentaires'!H135</f>
        <v>5</v>
      </c>
      <c r="L108" s="444">
        <f ca="1">'[10]résultats commentaires'!I135</f>
        <v>46</v>
      </c>
      <c r="M108" s="444">
        <f ca="1">'[10]résultats commentaires'!J135</f>
        <v>52</v>
      </c>
      <c r="Z108" s="1251"/>
      <c r="AA108" s="1251"/>
      <c r="AB108" s="1251"/>
      <c r="AC108" s="1251"/>
      <c r="AD108" s="1251"/>
      <c r="AE108" s="1251"/>
      <c r="AF108" s="1251"/>
      <c r="AG108" s="1251"/>
      <c r="AH108" s="1251"/>
      <c r="AI108" s="1251"/>
      <c r="AJ108" s="1251"/>
      <c r="AK108" s="1251"/>
      <c r="AL108" s="1251"/>
    </row>
    <row r="109" spans="1:38" ht="15" customHeight="1">
      <c r="A109" s="450" t="str">
        <f ca="1">[10]résultats!$AD$88</f>
        <v/>
      </c>
      <c r="B109" s="450" t="str">
        <f ca="1">[10]résultats!$AF$88</f>
        <v/>
      </c>
      <c r="C109" s="450" t="str">
        <f ca="1">[10]résultats!$AG$88</f>
        <v/>
      </c>
      <c r="D109" s="451" t="str">
        <f t="shared" ca="1" si="5"/>
        <v/>
      </c>
      <c r="E109" s="506"/>
      <c r="F109" s="442" t="str">
        <f ca="1">'[10]résultats commentaires'!C136</f>
        <v>TT RHUYS 1</v>
      </c>
      <c r="G109" s="443">
        <f ca="1">'[10]résultats commentaires'!D136</f>
        <v>10.000036554939857</v>
      </c>
      <c r="H109" s="444">
        <f ca="1">'[10]résultats commentaires'!E136</f>
        <v>6</v>
      </c>
      <c r="I109" s="444">
        <f ca="1">'[10]résultats commentaires'!F136</f>
        <v>2</v>
      </c>
      <c r="J109" s="444">
        <f ca="1">'[10]résultats commentaires'!G136</f>
        <v>0</v>
      </c>
      <c r="K109" s="444">
        <f ca="1">'[10]résultats commentaires'!H136</f>
        <v>4</v>
      </c>
      <c r="L109" s="444">
        <f ca="1">'[10]résultats commentaires'!I136</f>
        <v>33</v>
      </c>
      <c r="M109" s="444">
        <f ca="1">'[10]résultats commentaires'!J136</f>
        <v>51</v>
      </c>
      <c r="Z109" s="1251"/>
      <c r="AA109" s="1251"/>
      <c r="AB109" s="1251"/>
      <c r="AC109" s="1251"/>
      <c r="AD109" s="1251"/>
      <c r="AE109" s="1251"/>
      <c r="AF109" s="1251"/>
      <c r="AG109" s="1251"/>
      <c r="AH109" s="1251"/>
      <c r="AI109" s="1251"/>
      <c r="AJ109" s="1251"/>
      <c r="AK109" s="1251"/>
      <c r="AL109" s="1251"/>
    </row>
    <row r="110" spans="1:38" ht="15" customHeight="1">
      <c r="A110" s="450" t="str">
        <f ca="1">[10]résultats!$AD$89</f>
        <v/>
      </c>
      <c r="B110" s="450" t="str">
        <f ca="1">[10]résultats!$AF$89</f>
        <v/>
      </c>
      <c r="C110" s="450" t="str">
        <f ca="1">[10]résultats!$AG$89</f>
        <v/>
      </c>
      <c r="D110" s="451" t="str">
        <f t="shared" ca="1" si="5"/>
        <v/>
      </c>
      <c r="E110" s="506" t="s">
        <v>142</v>
      </c>
      <c r="F110" s="442" t="str">
        <f ca="1">'[10]résultats commentaires'!C137</f>
        <v>CTT MENIMUR 5</v>
      </c>
      <c r="G110" s="443">
        <f ca="1">'[10]résultats commentaires'!D137</f>
        <v>10.00001922981094</v>
      </c>
      <c r="H110" s="444">
        <f ca="1">'[10]résultats commentaires'!E137</f>
        <v>6</v>
      </c>
      <c r="I110" s="444">
        <f ca="1">'[10]résultats commentaires'!F137</f>
        <v>2</v>
      </c>
      <c r="J110" s="444">
        <f ca="1">'[10]résultats commentaires'!G137</f>
        <v>0</v>
      </c>
      <c r="K110" s="444">
        <f ca="1">'[10]résultats commentaires'!H137</f>
        <v>4</v>
      </c>
      <c r="L110" s="444">
        <f ca="1">'[10]résultats commentaires'!I137</f>
        <v>29</v>
      </c>
      <c r="M110" s="444">
        <f ca="1">'[10]résultats commentaires'!J137</f>
        <v>55</v>
      </c>
      <c r="Z110" s="1251"/>
      <c r="AA110" s="1251"/>
      <c r="AB110" s="1251"/>
      <c r="AC110" s="1251"/>
      <c r="AD110" s="1251"/>
      <c r="AE110" s="1251"/>
      <c r="AF110" s="1251"/>
      <c r="AG110" s="1251"/>
      <c r="AH110" s="1251"/>
      <c r="AI110" s="1251"/>
      <c r="AJ110" s="1251"/>
      <c r="AK110" s="1251"/>
      <c r="AL110" s="1251"/>
    </row>
    <row r="111" spans="1:38" ht="17.25">
      <c r="A111" s="450" t="str">
        <f ca="1">[10]résultats!$AD$90</f>
        <v/>
      </c>
      <c r="B111" s="439" t="str">
        <f ca="1">[10]résultats!$AF$90</f>
        <v/>
      </c>
      <c r="C111" s="439" t="str">
        <f ca="1">[10]résultats!$AG$90</f>
        <v/>
      </c>
      <c r="D111" s="451" t="str">
        <f t="shared" ca="1" si="5"/>
        <v/>
      </c>
      <c r="E111" s="458" t="str">
        <f ca="1">[10]équipes!J4&amp;" en fin de phase contre "</f>
        <v xml:space="preserve">32 ans et 805 pts de moy. en fin de phase contre </v>
      </c>
      <c r="F111" s="354"/>
      <c r="G111" s="353"/>
      <c r="H111" s="353"/>
      <c r="I111" s="353"/>
      <c r="J111" s="353"/>
      <c r="K111" s="353"/>
      <c r="L111" s="353"/>
      <c r="M111" s="356"/>
      <c r="Z111" s="521"/>
      <c r="AA111" s="433"/>
      <c r="AB111" s="433"/>
      <c r="AC111" s="434"/>
      <c r="AD111" s="435"/>
      <c r="AE111" s="436"/>
      <c r="AF111" s="437"/>
      <c r="AG111" s="437"/>
      <c r="AH111" s="438"/>
      <c r="AI111" s="438"/>
      <c r="AJ111" s="438"/>
      <c r="AK111" s="438"/>
      <c r="AL111" s="438"/>
    </row>
    <row r="112" spans="1:38">
      <c r="A112" s="466" t="s">
        <v>435</v>
      </c>
      <c r="B112" s="467">
        <f ca="1">IF(A103="",0,IF([10]résultats!$BD$1&lt;=7,VLOOKUP(N21,F103:M110,7,FALSE)-SUM(B103:B110),VLOOKUP(N21,[10]clt!AW39:BD46,7,FALSE)-SUM(B103:B111)))</f>
        <v>8</v>
      </c>
      <c r="C112" s="467">
        <f ca="1">IF([10]résultats!$BD$1&lt;=7,VLOOKUP(N21,F103:H110,3,FALSE)*2,VLOOKUP(N21,[10]clt!AW39:BD46,3,FALSE)*2)</f>
        <v>14</v>
      </c>
      <c r="D112" s="468">
        <f ca="1">IF(C112="","",B112/C112)</f>
        <v>0.5714285714285714</v>
      </c>
      <c r="E112" s="462" t="str">
        <f ca="1">ROUND(SUM('[10]résultats commentaires'!K117:K125)/COUNT('[10]résultats commentaires'!K117:K125),0)&amp; " points de moyenne en début de phase."</f>
        <v>747 points de moyenne en début de phase.</v>
      </c>
      <c r="F112" s="522"/>
      <c r="G112" s="523"/>
      <c r="H112" s="523"/>
      <c r="I112" s="523"/>
      <c r="J112" s="464" t="s">
        <v>443</v>
      </c>
      <c r="K112" s="523"/>
      <c r="L112" s="523"/>
      <c r="M112" s="465"/>
      <c r="Z112" s="445"/>
      <c r="AA112" s="445"/>
      <c r="AB112" s="445"/>
      <c r="AC112" s="446"/>
      <c r="AD112" s="452"/>
      <c r="AE112" s="453"/>
      <c r="AF112" s="454"/>
      <c r="AG112" s="455"/>
      <c r="AH112" s="455"/>
      <c r="AI112" s="455"/>
      <c r="AJ112" s="455"/>
      <c r="AK112" s="455"/>
      <c r="AL112" s="455"/>
    </row>
    <row r="113" spans="1:38" ht="15" customHeight="1">
      <c r="A113" s="478" t="s">
        <v>156</v>
      </c>
      <c r="B113" s="524">
        <f ca="1">SUM(B103:B112)</f>
        <v>54</v>
      </c>
      <c r="C113" s="524">
        <f ca="1">SUM(C103:C112)</f>
        <v>98</v>
      </c>
      <c r="D113" s="525">
        <f ca="1">IF(C113="","",B113/C113)</f>
        <v>0.55102040816326525</v>
      </c>
      <c r="E113" s="469" t="str">
        <f>IF($F$12="",'[10]résultats des équipes'!AD90,'[10]résultats des équipes'!AD97)</f>
        <v>Vict 13 - 1</v>
      </c>
      <c r="F113" s="470" t="str">
        <f>IF($F$12="",'[10]résultats des équipes'!AF90,'[10]résultats des équipes'!AF97)</f>
        <v>CTT MENIMUR 5</v>
      </c>
      <c r="G113" s="510"/>
      <c r="H113" s="510"/>
      <c r="I113" s="510"/>
      <c r="J113" s="510"/>
      <c r="K113" s="510"/>
      <c r="L113" s="510"/>
      <c r="M113" s="473"/>
      <c r="Z113" s="445"/>
      <c r="AA113" s="445"/>
      <c r="AB113" s="445"/>
      <c r="AC113" s="446"/>
      <c r="AD113" s="438"/>
      <c r="AE113" s="447"/>
      <c r="AF113" s="448"/>
      <c r="AG113" s="449"/>
      <c r="AH113" s="449"/>
      <c r="AI113" s="449"/>
      <c r="AJ113" s="449"/>
      <c r="AK113" s="449"/>
      <c r="AL113" s="449"/>
    </row>
    <row r="114" spans="1:38" ht="13.5" customHeight="1">
      <c r="A114" s="1205" t="s">
        <v>444</v>
      </c>
      <c r="B114" s="1192"/>
      <c r="C114" s="1192"/>
      <c r="D114" s="1192"/>
      <c r="E114" s="474" t="str">
        <f>IF($F$12="",'[10]résultats des équipes'!AD91,'[10]résultats des équipes'!AD98)</f>
        <v>Déf 9 - 5</v>
      </c>
      <c r="F114" s="475" t="str">
        <f>IF($F$12="",'[10]résultats des équipes'!AF91,'[10]résultats des équipes'!AF98)</f>
        <v>ES ST-AVE 2</v>
      </c>
      <c r="G114" s="510"/>
      <c r="H114" s="510"/>
      <c r="I114" s="510"/>
      <c r="J114" s="510"/>
      <c r="K114" s="510"/>
      <c r="L114" s="510"/>
      <c r="M114" s="473"/>
      <c r="Z114" s="445"/>
      <c r="AA114" s="445"/>
      <c r="AB114" s="445"/>
      <c r="AC114" s="446"/>
      <c r="AD114" s="438"/>
      <c r="AE114" s="447"/>
      <c r="AF114" s="448"/>
      <c r="AG114" s="449"/>
      <c r="AH114" s="449"/>
      <c r="AI114" s="449"/>
      <c r="AJ114" s="449"/>
      <c r="AK114" s="449"/>
      <c r="AL114" s="449"/>
    </row>
    <row r="115" spans="1:38" ht="13.5" customHeight="1">
      <c r="A115" s="1191"/>
      <c r="B115" s="1192"/>
      <c r="C115" s="1192"/>
      <c r="D115" s="1192"/>
      <c r="E115" s="474" t="str">
        <f>IF($F$12="",'[10]résultats des équipes'!AD92,'[10]résultats des équipes'!AD99)</f>
        <v>Déf 11 - 3</v>
      </c>
      <c r="F115" s="475" t="str">
        <f>IF($F$12="",'[10]résultats des équipes'!AF92,'[10]résultats des équipes'!AF99)</f>
        <v>BAUD TT 1</v>
      </c>
      <c r="G115" s="510"/>
      <c r="H115" s="510"/>
      <c r="I115" s="510"/>
      <c r="J115" s="510"/>
      <c r="K115" s="510"/>
      <c r="L115" s="510"/>
      <c r="M115" s="473"/>
      <c r="Z115" s="445"/>
      <c r="AA115" s="445"/>
      <c r="AB115" s="445"/>
      <c r="AC115" s="446"/>
      <c r="AD115" s="438"/>
      <c r="AE115" s="447"/>
      <c r="AF115" s="448"/>
      <c r="AG115" s="449"/>
      <c r="AH115" s="449"/>
      <c r="AI115" s="449"/>
      <c r="AJ115" s="449"/>
      <c r="AK115" s="449"/>
      <c r="AL115" s="449"/>
    </row>
    <row r="116" spans="1:38" ht="14.25" customHeight="1">
      <c r="A116" s="1191"/>
      <c r="B116" s="1192"/>
      <c r="C116" s="1192"/>
      <c r="D116" s="1192"/>
      <c r="E116" s="474" t="str">
        <f>IF($F$12="",'[10]résultats des équipes'!AD93,'[10]résultats des équipes'!AD100)</f>
        <v>Vict 11 - 3</v>
      </c>
      <c r="F116" s="475" t="str">
        <f>IF($F$12="",'[10]résultats des équipes'!AF93,'[10]résultats des équipes'!AF100)</f>
        <v>CTT MENIMUR 4</v>
      </c>
      <c r="G116" s="510"/>
      <c r="H116" s="510"/>
      <c r="I116" s="510"/>
      <c r="J116" s="510"/>
      <c r="K116" s="510"/>
      <c r="L116" s="510"/>
      <c r="M116" s="473"/>
      <c r="Z116" s="445"/>
      <c r="AA116" s="445"/>
      <c r="AB116" s="445"/>
      <c r="AC116" s="446"/>
      <c r="AD116" s="438"/>
      <c r="AE116" s="447"/>
      <c r="AF116" s="448"/>
      <c r="AG116" s="449"/>
      <c r="AH116" s="449"/>
      <c r="AI116" s="449"/>
      <c r="AJ116" s="449"/>
      <c r="AK116" s="449"/>
      <c r="AL116" s="449"/>
    </row>
    <row r="117" spans="1:38" ht="15.75" customHeight="1">
      <c r="A117" s="1191"/>
      <c r="B117" s="1192"/>
      <c r="C117" s="1192"/>
      <c r="D117" s="1192"/>
      <c r="E117" s="474" t="str">
        <f>IF($F$12="",'[10]résultats des équipes'!AD94,'[10]résultats des équipes'!AD101)</f>
        <v>Vict 8 - 6</v>
      </c>
      <c r="F117" s="475" t="str">
        <f>IF($F$12="",'[10]résultats des équipes'!AF94,'[10]résultats des équipes'!AF101)</f>
        <v>PLUNERET/MERIAD 3</v>
      </c>
      <c r="G117" s="510"/>
      <c r="H117" s="510"/>
      <c r="I117" s="510"/>
      <c r="J117" s="510"/>
      <c r="K117" s="510"/>
      <c r="L117" s="510"/>
      <c r="M117" s="473"/>
      <c r="Z117" s="456"/>
      <c r="AA117" s="456"/>
      <c r="AB117" s="456"/>
      <c r="AC117" s="457"/>
      <c r="AD117" s="438"/>
      <c r="AE117" s="447"/>
      <c r="AF117" s="448"/>
      <c r="AG117" s="449"/>
      <c r="AH117" s="449"/>
      <c r="AI117" s="449"/>
      <c r="AJ117" s="449"/>
      <c r="AK117" s="449"/>
      <c r="AL117" s="449"/>
    </row>
    <row r="118" spans="1:38" ht="15" customHeight="1">
      <c r="A118" s="1191"/>
      <c r="B118" s="1192"/>
      <c r="C118" s="1192"/>
      <c r="D118" s="1192"/>
      <c r="E118" s="484" t="str">
        <f>IF($F$12="",'[10]résultats des équipes'!AD95,'[10]résultats des équipes'!AD102)</f>
        <v>Vict 9 - 5</v>
      </c>
      <c r="F118" s="485" t="str">
        <f>IF($F$12="",'[10]résultats des équipes'!AF95,'[10]résultats des équipes'!AF102)</f>
        <v>TT RHUYS 2</v>
      </c>
      <c r="G118" s="510"/>
      <c r="H118" s="493"/>
      <c r="I118" s="493"/>
      <c r="J118" s="493"/>
      <c r="K118" s="493"/>
      <c r="L118" s="493"/>
      <c r="M118" s="494"/>
      <c r="Z118" s="456"/>
      <c r="AA118" s="456"/>
      <c r="AB118" s="456"/>
      <c r="AC118" s="457"/>
      <c r="AD118" s="438"/>
      <c r="AE118" s="447"/>
      <c r="AF118" s="448"/>
      <c r="AG118" s="449"/>
      <c r="AH118" s="449"/>
      <c r="AI118" s="449"/>
      <c r="AJ118" s="449"/>
      <c r="AK118" s="449"/>
      <c r="AL118" s="449"/>
    </row>
    <row r="119" spans="1:38" ht="15" customHeight="1">
      <c r="A119" s="1193"/>
      <c r="B119" s="1194"/>
      <c r="C119" s="1194"/>
      <c r="D119" s="1194"/>
      <c r="E119" s="498" t="str">
        <f>IF($F$12="",'[10]résultats des équipes'!AD96,'[10]résultats des équipes'!AD103)</f>
        <v>Déf 9 - 5</v>
      </c>
      <c r="F119" s="499" t="str">
        <f>IF($F$12="",'[10]résultats des équipes'!AF96,'[10]résultats des équipes'!AF103)</f>
        <v>TT RHUYS 1</v>
      </c>
      <c r="G119" s="513"/>
      <c r="H119" s="514"/>
      <c r="I119" s="514"/>
      <c r="J119" s="514"/>
      <c r="K119" s="514"/>
      <c r="L119" s="514"/>
      <c r="M119" s="494"/>
      <c r="Z119" s="456"/>
      <c r="AA119" s="456"/>
      <c r="AB119" s="456"/>
      <c r="AC119" s="457"/>
      <c r="AD119" s="438"/>
      <c r="AE119" s="447"/>
      <c r="AF119" s="448"/>
      <c r="AG119" s="449"/>
      <c r="AH119" s="449"/>
      <c r="AI119" s="449"/>
      <c r="AJ119" s="449"/>
      <c r="AK119" s="449"/>
      <c r="AL119" s="449"/>
    </row>
    <row r="120" spans="1:38" ht="15" customHeight="1">
      <c r="A120" s="1206"/>
      <c r="B120" s="1207"/>
      <c r="C120" s="1207"/>
      <c r="D120" s="1207"/>
      <c r="E120" s="1207"/>
      <c r="F120" s="1207"/>
      <c r="G120" s="1207"/>
      <c r="H120" s="1207"/>
      <c r="I120" s="1207"/>
      <c r="J120" s="1207"/>
      <c r="K120" s="1207"/>
      <c r="L120" s="1207"/>
      <c r="M120" s="1208"/>
      <c r="Z120" s="456"/>
      <c r="AA120" s="456"/>
      <c r="AB120" s="456"/>
      <c r="AC120" s="457"/>
      <c r="AD120" s="474"/>
      <c r="AE120" s="475"/>
      <c r="AF120" s="1215"/>
      <c r="AG120" s="1216"/>
      <c r="AH120" s="1216"/>
      <c r="AI120" s="1216"/>
      <c r="AJ120" s="1216"/>
      <c r="AK120" s="1216"/>
      <c r="AL120" s="1216"/>
    </row>
    <row r="121" spans="1:38" ht="15" hidden="1" customHeight="1">
      <c r="A121" s="1209"/>
      <c r="B121" s="1210"/>
      <c r="C121" s="1210"/>
      <c r="D121" s="1210"/>
      <c r="E121" s="1210"/>
      <c r="F121" s="1210"/>
      <c r="G121" s="1210"/>
      <c r="H121" s="1210"/>
      <c r="I121" s="1210"/>
      <c r="J121" s="1210"/>
      <c r="K121" s="1210"/>
      <c r="L121" s="1210"/>
      <c r="M121" s="1211"/>
      <c r="Z121" s="456"/>
      <c r="AA121" s="456"/>
      <c r="AB121" s="456"/>
      <c r="AC121" s="457"/>
      <c r="AD121" s="474"/>
      <c r="AE121" s="475"/>
      <c r="AF121" s="1216"/>
      <c r="AG121" s="1216"/>
      <c r="AH121" s="1216"/>
      <c r="AI121" s="1216"/>
      <c r="AJ121" s="1216"/>
      <c r="AK121" s="1216"/>
      <c r="AL121" s="1216"/>
    </row>
    <row r="122" spans="1:38" ht="60.75" hidden="1" customHeight="1">
      <c r="A122" s="1212"/>
      <c r="B122" s="1213"/>
      <c r="C122" s="1213"/>
      <c r="D122" s="1213"/>
      <c r="E122" s="1213"/>
      <c r="F122" s="1213"/>
      <c r="G122" s="1213"/>
      <c r="H122" s="1213"/>
      <c r="I122" s="1213"/>
      <c r="J122" s="1213"/>
      <c r="K122" s="1213"/>
      <c r="L122" s="1213"/>
      <c r="M122" s="1214"/>
      <c r="Z122" s="456"/>
      <c r="AA122" s="456"/>
      <c r="AB122" s="456"/>
      <c r="AC122" s="457"/>
      <c r="AD122" s="474"/>
      <c r="AE122" s="475"/>
      <c r="AF122" s="476"/>
      <c r="AG122" s="477"/>
      <c r="AH122" s="459"/>
      <c r="AI122" s="477"/>
      <c r="AJ122" s="459"/>
      <c r="AK122" s="459"/>
      <c r="AL122" s="340"/>
    </row>
    <row r="123" spans="1:38" ht="15" customHeight="1">
      <c r="A123" s="422" t="s">
        <v>431</v>
      </c>
      <c r="B123" s="423" t="s">
        <v>15</v>
      </c>
      <c r="C123" s="423" t="s">
        <v>348</v>
      </c>
      <c r="D123" s="526" t="s">
        <v>432</v>
      </c>
      <c r="E123" s="425" t="s">
        <v>17</v>
      </c>
      <c r="F123" s="426" t="str">
        <f ca="1">P22</f>
        <v>MTT 6: D3   G</v>
      </c>
      <c r="G123" s="427" t="s">
        <v>172</v>
      </c>
      <c r="H123" s="427" t="s">
        <v>433</v>
      </c>
      <c r="I123" s="428" t="s">
        <v>397</v>
      </c>
      <c r="J123" s="428" t="s">
        <v>174</v>
      </c>
      <c r="K123" s="428" t="s">
        <v>175</v>
      </c>
      <c r="L123" s="428" t="s">
        <v>176</v>
      </c>
      <c r="M123" s="428" t="s">
        <v>177</v>
      </c>
      <c r="Z123" s="456"/>
      <c r="AA123" s="456"/>
      <c r="AB123" s="456"/>
      <c r="AC123" s="457"/>
      <c r="AD123" s="474"/>
      <c r="AE123" s="475"/>
      <c r="AF123" s="477"/>
      <c r="AG123" s="477"/>
      <c r="AH123" s="459"/>
      <c r="AI123" s="477"/>
      <c r="AJ123" s="459"/>
      <c r="AK123" s="459"/>
      <c r="AL123" s="340"/>
    </row>
    <row r="124" spans="1:38" ht="15" customHeight="1">
      <c r="A124" s="439" t="str">
        <f ca="1">[10]résultats!$AK$82</f>
        <v>Dayot Franck</v>
      </c>
      <c r="B124" s="439">
        <f ca="1">[10]résultats!$AM$82</f>
        <v>16</v>
      </c>
      <c r="C124" s="439">
        <f ca="1">[10]résultats!$AN$82</f>
        <v>21</v>
      </c>
      <c r="D124" s="440">
        <f t="shared" ref="D124:D131" ca="1" si="6">IF(C124="","",B124/C124)</f>
        <v>0.76190476190476186</v>
      </c>
      <c r="E124" s="506">
        <f>'[10]résultats commentaires'!B153</f>
        <v>1</v>
      </c>
      <c r="F124" s="442" t="str">
        <f ca="1">'[10]résultats commentaires'!C153</f>
        <v>SENE TT 3</v>
      </c>
      <c r="G124" s="443">
        <f ca="1">'[10]résultats commentaires'!D153</f>
        <v>21.000012966600476</v>
      </c>
      <c r="H124" s="444">
        <f ca="1">'[10]résultats commentaires'!E153</f>
        <v>7</v>
      </c>
      <c r="I124" s="444">
        <f ca="1">'[10]résultats commentaires'!F153</f>
        <v>7</v>
      </c>
      <c r="J124" s="444">
        <f ca="1">'[10]résultats commentaires'!G153</f>
        <v>0</v>
      </c>
      <c r="K124" s="444">
        <f ca="1">'[10]résultats commentaires'!H153</f>
        <v>0</v>
      </c>
      <c r="L124" s="444">
        <f ca="1">'[10]résultats commentaires'!I153</f>
        <v>80</v>
      </c>
      <c r="M124" s="444">
        <f ca="1">'[10]résultats commentaires'!J153</f>
        <v>18</v>
      </c>
      <c r="Z124" s="456"/>
      <c r="AA124" s="456"/>
      <c r="AB124" s="456"/>
      <c r="AC124" s="457"/>
      <c r="AD124" s="474"/>
      <c r="AE124" s="475"/>
      <c r="AF124" s="477"/>
      <c r="AG124" s="477"/>
      <c r="AH124" s="459"/>
      <c r="AI124" s="477"/>
      <c r="AJ124" s="459"/>
      <c r="AK124" s="459"/>
      <c r="AL124" s="340"/>
    </row>
    <row r="125" spans="1:38">
      <c r="A125" s="439" t="str">
        <f ca="1">[10]résultats!$AK$83</f>
        <v>Lecossier Michel</v>
      </c>
      <c r="B125" s="439">
        <f ca="1">[10]résultats!$AM$83</f>
        <v>13</v>
      </c>
      <c r="C125" s="439">
        <f ca="1">[10]résultats!$AN$83</f>
        <v>15</v>
      </c>
      <c r="D125" s="440">
        <f t="shared" ca="1" si="6"/>
        <v>0.8666666666666667</v>
      </c>
      <c r="E125" s="506">
        <f ca="1">'[10]résultats commentaires'!B154</f>
        <v>2</v>
      </c>
      <c r="F125" s="442" t="str">
        <f ca="1">'[10]résultats commentaires'!C154</f>
        <v>MUZILLAC TT 6</v>
      </c>
      <c r="G125" s="443">
        <f ca="1">'[10]résultats commentaires'!D154</f>
        <v>18.000010791450908</v>
      </c>
      <c r="H125" s="444">
        <f ca="1">'[10]résultats commentaires'!E154</f>
        <v>7</v>
      </c>
      <c r="I125" s="444">
        <f ca="1">'[10]résultats commentaires'!F154</f>
        <v>5</v>
      </c>
      <c r="J125" s="444">
        <f ca="1">'[10]résultats commentaires'!G154</f>
        <v>1</v>
      </c>
      <c r="K125" s="444">
        <f ca="1">'[10]résultats commentaires'!H154</f>
        <v>1</v>
      </c>
      <c r="L125" s="444">
        <f ca="1">'[10]résultats commentaires'!I154</f>
        <v>63</v>
      </c>
      <c r="M125" s="444">
        <f ca="1">'[10]résultats commentaires'!J154</f>
        <v>35</v>
      </c>
      <c r="Z125" s="456"/>
      <c r="AA125" s="445"/>
      <c r="AB125" s="445"/>
      <c r="AC125" s="457"/>
      <c r="AD125" s="474"/>
      <c r="AE125" s="475"/>
      <c r="AF125" s="477"/>
      <c r="AG125" s="486"/>
      <c r="AH125" s="459"/>
      <c r="AI125" s="487"/>
      <c r="AJ125" s="459"/>
      <c r="AK125" s="459"/>
      <c r="AL125" s="340"/>
    </row>
    <row r="126" spans="1:38">
      <c r="A126" s="439" t="str">
        <f ca="1">[10]résultats!$AK$84</f>
        <v>Boulaire Emile</v>
      </c>
      <c r="B126" s="439">
        <f ca="1">[10]résultats!$AM$84</f>
        <v>8</v>
      </c>
      <c r="C126" s="439">
        <f ca="1">[10]résultats!$AN$84</f>
        <v>15</v>
      </c>
      <c r="D126" s="440">
        <f t="shared" ca="1" si="6"/>
        <v>0.53333333333333333</v>
      </c>
      <c r="E126" s="506">
        <f ca="1">'[10]résultats commentaires'!B155</f>
        <v>3</v>
      </c>
      <c r="F126" s="442" t="str">
        <f ca="1">'[10]résultats commentaires'!C155</f>
        <v>CTT MENIMUR 6</v>
      </c>
      <c r="G126" s="443">
        <f ca="1">'[10]résultats commentaires'!D155</f>
        <v>15.000063407774354</v>
      </c>
      <c r="H126" s="444">
        <f ca="1">'[10]résultats commentaires'!E155</f>
        <v>7</v>
      </c>
      <c r="I126" s="444">
        <f ca="1">'[10]résultats commentaires'!F155</f>
        <v>4</v>
      </c>
      <c r="J126" s="444">
        <f ca="1">'[10]résultats commentaires'!G155</f>
        <v>0</v>
      </c>
      <c r="K126" s="444">
        <f ca="1">'[10]résultats commentaires'!H155</f>
        <v>3</v>
      </c>
      <c r="L126" s="444">
        <f ca="1">'[10]résultats commentaires'!I155</f>
        <v>60</v>
      </c>
      <c r="M126" s="444">
        <f ca="1">'[10]résultats commentaires'!J155</f>
        <v>38</v>
      </c>
      <c r="Z126" s="481"/>
      <c r="AA126" s="482"/>
      <c r="AB126" s="482"/>
      <c r="AC126" s="483"/>
      <c r="AD126" s="460"/>
      <c r="AE126" s="461"/>
      <c r="AF126" s="459"/>
      <c r="AG126" s="459"/>
      <c r="AH126" s="459"/>
      <c r="AI126" s="459"/>
      <c r="AJ126" s="459"/>
      <c r="AK126" s="459"/>
      <c r="AL126" s="340"/>
    </row>
    <row r="127" spans="1:38">
      <c r="A127" s="439" t="str">
        <f ca="1">[10]résultats!$AK$85</f>
        <v>Le Cam Corentin</v>
      </c>
      <c r="B127" s="439">
        <f ca="1">[10]résultats!$AM$85</f>
        <v>3</v>
      </c>
      <c r="C127" s="439">
        <f ca="1">[10]résultats!$AN$85</f>
        <v>12</v>
      </c>
      <c r="D127" s="440">
        <f t="shared" ca="1" si="6"/>
        <v>0.25</v>
      </c>
      <c r="E127" s="506">
        <f ca="1">'[10]résultats commentaires'!B156</f>
        <v>4</v>
      </c>
      <c r="F127" s="442" t="str">
        <f ca="1">'[10]résultats commentaires'!C156</f>
        <v>ES ST-AVE 1</v>
      </c>
      <c r="G127" s="443">
        <f ca="1">'[10]résultats commentaires'!D156</f>
        <v>13.000074035162916</v>
      </c>
      <c r="H127" s="444">
        <f ca="1">'[10]résultats commentaires'!E156</f>
        <v>7</v>
      </c>
      <c r="I127" s="444">
        <f ca="1">'[10]résultats commentaires'!F156</f>
        <v>2</v>
      </c>
      <c r="J127" s="444">
        <f ca="1">'[10]résultats commentaires'!G156</f>
        <v>2</v>
      </c>
      <c r="K127" s="444">
        <f ca="1">'[10]résultats commentaires'!H156</f>
        <v>3</v>
      </c>
      <c r="L127" s="444">
        <f ca="1">'[10]résultats commentaires'!I156</f>
        <v>43</v>
      </c>
      <c r="M127" s="444">
        <f ca="1">'[10]résultats commentaires'!J156</f>
        <v>55</v>
      </c>
      <c r="Z127" s="512"/>
      <c r="AA127" s="496"/>
      <c r="AB127" s="496"/>
      <c r="AC127" s="497"/>
      <c r="AD127" s="340"/>
      <c r="AE127" s="341"/>
      <c r="AF127" s="340"/>
      <c r="AG127" s="340"/>
      <c r="AH127" s="340"/>
      <c r="AI127" s="340"/>
      <c r="AJ127" s="340"/>
      <c r="AK127" s="340"/>
      <c r="AL127" s="340"/>
    </row>
    <row r="128" spans="1:38">
      <c r="A128" s="439" t="str">
        <f ca="1">[10]résultats!$AK$86</f>
        <v>Lorho Mathieu</v>
      </c>
      <c r="B128" s="439">
        <f ca="1">[10]résultats!$AM$86</f>
        <v>8</v>
      </c>
      <c r="C128" s="439">
        <f ca="1">[10]résultats!$AN$86</f>
        <v>9</v>
      </c>
      <c r="D128" s="440">
        <f t="shared" ca="1" si="6"/>
        <v>0.88888888888888884</v>
      </c>
      <c r="E128" s="506" t="str">
        <f ca="1">'[10]résultats commentaires'!B157</f>
        <v>-</v>
      </c>
      <c r="F128" s="442" t="str">
        <f ca="1">'[10]résultats commentaires'!C157</f>
        <v>ARGOET STT 2</v>
      </c>
      <c r="G128" s="443">
        <f ca="1">'[10]résultats commentaires'!D157</f>
        <v>13.000011469301867</v>
      </c>
      <c r="H128" s="444">
        <f ca="1">'[10]résultats commentaires'!E157</f>
        <v>7</v>
      </c>
      <c r="I128" s="444">
        <f ca="1">'[10]résultats commentaires'!F157</f>
        <v>3</v>
      </c>
      <c r="J128" s="444">
        <f ca="1">'[10]résultats commentaires'!G157</f>
        <v>0</v>
      </c>
      <c r="K128" s="444">
        <f ca="1">'[10]résultats commentaires'!H157</f>
        <v>4</v>
      </c>
      <c r="L128" s="444">
        <f ca="1">'[10]résultats commentaires'!I157</f>
        <v>37</v>
      </c>
      <c r="M128" s="444">
        <f ca="1">'[10]résultats commentaires'!J157</f>
        <v>61</v>
      </c>
      <c r="Z128" s="518"/>
      <c r="AA128" s="496"/>
      <c r="AB128" s="496"/>
      <c r="AC128" s="497"/>
      <c r="AD128" s="340"/>
      <c r="AE128" s="341"/>
      <c r="AF128" s="340"/>
      <c r="AG128" s="340"/>
      <c r="AH128" s="340"/>
      <c r="AI128" s="340"/>
      <c r="AJ128" s="340"/>
      <c r="AK128" s="340"/>
      <c r="AL128" s="340"/>
    </row>
    <row r="129" spans="1:38">
      <c r="A129" s="450" t="str">
        <f ca="1">[10]résultats!$AK$87</f>
        <v>Zaragoza José</v>
      </c>
      <c r="B129" s="450">
        <f ca="1">[10]résultats!$AM$87</f>
        <v>3</v>
      </c>
      <c r="C129" s="450">
        <f ca="1">[10]résultats!$AN$87</f>
        <v>3</v>
      </c>
      <c r="D129" s="451">
        <f t="shared" ca="1" si="6"/>
        <v>1</v>
      </c>
      <c r="E129" s="506">
        <f ca="1">'[10]résultats commentaires'!B158</f>
        <v>6</v>
      </c>
      <c r="F129" s="442" t="str">
        <f ca="1">'[10]résultats commentaires'!C158</f>
        <v>FC ST-RAOUL 2</v>
      </c>
      <c r="G129" s="443">
        <f ca="1">'[10]résultats commentaires'!D158</f>
        <v>12.000028074268863</v>
      </c>
      <c r="H129" s="444">
        <f ca="1">'[10]résultats commentaires'!E158</f>
        <v>7</v>
      </c>
      <c r="I129" s="444">
        <f ca="1">'[10]résultats commentaires'!F158</f>
        <v>1</v>
      </c>
      <c r="J129" s="444">
        <f ca="1">'[10]résultats commentaires'!G158</f>
        <v>3</v>
      </c>
      <c r="K129" s="444">
        <f ca="1">'[10]résultats commentaires'!H158</f>
        <v>3</v>
      </c>
      <c r="L129" s="444">
        <f ca="1">'[10]résultats commentaires'!I158</f>
        <v>41</v>
      </c>
      <c r="M129" s="444">
        <f ca="1">'[10]résultats commentaires'!J158</f>
        <v>57</v>
      </c>
      <c r="Z129" s="495"/>
      <c r="AA129" s="496"/>
      <c r="AB129" s="496"/>
      <c r="AC129" s="497"/>
      <c r="AD129" s="340"/>
      <c r="AE129" s="341"/>
      <c r="AF129" s="340"/>
      <c r="AG129" s="340"/>
      <c r="AH129" s="340"/>
      <c r="AI129" s="340"/>
      <c r="AJ129" s="340"/>
      <c r="AK129" s="340"/>
      <c r="AL129" s="340"/>
    </row>
    <row r="130" spans="1:38">
      <c r="A130" s="450" t="str">
        <f ca="1">[10]résultats!$AK$88</f>
        <v>Touche Rémy</v>
      </c>
      <c r="B130" s="450">
        <f ca="1">[10]résultats!$AM$88</f>
        <v>3</v>
      </c>
      <c r="C130" s="450">
        <f ca="1">[10]résultats!$AN$88</f>
        <v>6</v>
      </c>
      <c r="D130" s="451">
        <f t="shared" ca="1" si="6"/>
        <v>0.5</v>
      </c>
      <c r="E130" s="506">
        <f ca="1">'[10]résultats commentaires'!B159</f>
        <v>7</v>
      </c>
      <c r="F130" s="442" t="str">
        <f ca="1">'[10]résultats commentaires'!C159</f>
        <v>RM PLUMELEC 2</v>
      </c>
      <c r="G130" s="443">
        <f ca="1">'[10]résultats commentaires'!D159</f>
        <v>11.00000345467217</v>
      </c>
      <c r="H130" s="444">
        <f ca="1">'[10]résultats commentaires'!E159</f>
        <v>7</v>
      </c>
      <c r="I130" s="444">
        <f ca="1">'[10]résultats commentaires'!F159</f>
        <v>1</v>
      </c>
      <c r="J130" s="444">
        <f ca="1">'[10]résultats commentaires'!G159</f>
        <v>2</v>
      </c>
      <c r="K130" s="444">
        <f ca="1">'[10]résultats commentaires'!H159</f>
        <v>4</v>
      </c>
      <c r="L130" s="444">
        <f ca="1">'[10]résultats commentaires'!I159</f>
        <v>35</v>
      </c>
      <c r="M130" s="444">
        <f ca="1">'[10]résultats commentaires'!J159</f>
        <v>63</v>
      </c>
      <c r="Z130" s="495"/>
      <c r="AA130" s="496"/>
      <c r="AB130" s="496"/>
      <c r="AC130" s="497"/>
      <c r="AD130" s="340"/>
      <c r="AE130" s="341"/>
      <c r="AF130" s="340"/>
      <c r="AG130" s="340"/>
      <c r="AH130" s="340"/>
      <c r="AI130" s="340"/>
      <c r="AJ130" s="340"/>
      <c r="AK130" s="340"/>
      <c r="AL130" s="340"/>
    </row>
    <row r="131" spans="1:38">
      <c r="A131" s="450" t="str">
        <f ca="1">[10]résultats!$AK$89</f>
        <v/>
      </c>
      <c r="B131" s="450" t="str">
        <f ca="1">[10]résultats!$AM$89</f>
        <v/>
      </c>
      <c r="C131" s="450" t="str">
        <f ca="1">[10]résultats!$AN$89</f>
        <v/>
      </c>
      <c r="D131" s="451" t="str">
        <f t="shared" ca="1" si="6"/>
        <v/>
      </c>
      <c r="E131" s="506">
        <f ca="1">'[10]résultats commentaires'!B160</f>
        <v>7</v>
      </c>
      <c r="F131" s="442" t="str">
        <f ca="1">'[10]résultats commentaires'!C160</f>
        <v>Exempt</v>
      </c>
      <c r="G131" s="443">
        <f ca="1">'[10]résultats commentaires'!D160</f>
        <v>9.00003237503992</v>
      </c>
      <c r="H131" s="444">
        <f ca="1">'[10]résultats commentaires'!E160</f>
        <v>7</v>
      </c>
      <c r="I131" s="444">
        <f ca="1">'[10]résultats commentaires'!F160</f>
        <v>1</v>
      </c>
      <c r="J131" s="444">
        <f ca="1">'[10]résultats commentaires'!G160</f>
        <v>0</v>
      </c>
      <c r="K131" s="444">
        <f ca="1">'[10]résultats commentaires'!H160</f>
        <v>6</v>
      </c>
      <c r="L131" s="444">
        <f ca="1">'[10]résultats commentaires'!I160</f>
        <v>33</v>
      </c>
      <c r="M131" s="444">
        <f ca="1">'[10]résultats commentaires'!J160</f>
        <v>65</v>
      </c>
      <c r="Z131" s="503"/>
      <c r="AA131" s="496"/>
      <c r="AB131" s="496"/>
      <c r="AC131" s="497"/>
      <c r="AD131" s="340"/>
      <c r="AE131" s="341"/>
      <c r="AF131" s="340"/>
      <c r="AG131" s="340"/>
      <c r="AH131" s="340"/>
      <c r="AI131" s="340"/>
      <c r="AJ131" s="340"/>
      <c r="AK131" s="340"/>
      <c r="AL131" s="340"/>
    </row>
    <row r="132" spans="1:38" ht="15" customHeight="1">
      <c r="A132" s="450"/>
      <c r="B132" s="450"/>
      <c r="C132" s="450"/>
      <c r="D132" s="451"/>
      <c r="E132" s="458" t="str">
        <f ca="1">[10]équipes!L4&amp;" en fin de phase contre "</f>
        <v xml:space="preserve">41 ans et 819 pts de moy. en fin de phase contre </v>
      </c>
      <c r="F132" s="354"/>
      <c r="G132" s="353"/>
      <c r="H132" s="353"/>
      <c r="I132" s="353"/>
      <c r="J132" s="353"/>
      <c r="K132" s="353"/>
      <c r="L132" s="353"/>
      <c r="M132" s="356"/>
      <c r="Z132" s="1217"/>
      <c r="AA132" s="1218"/>
      <c r="AB132" s="1218"/>
      <c r="AC132" s="1218"/>
      <c r="AD132" s="1218"/>
      <c r="AE132" s="1218"/>
      <c r="AF132" s="1218"/>
      <c r="AG132" s="1218"/>
      <c r="AH132" s="1218"/>
      <c r="AI132" s="1218"/>
      <c r="AJ132" s="1218"/>
      <c r="AK132" s="1218"/>
      <c r="AL132" s="1218"/>
    </row>
    <row r="133" spans="1:38" ht="15" customHeight="1">
      <c r="A133" s="466" t="s">
        <v>435</v>
      </c>
      <c r="B133" s="467">
        <f ca="1">IF(A124="",0,IF([10]résultats!$BD$1&lt;=7,VLOOKUP(N22,F124:M131,7,FALSE)-SUM(B124:B131),VLOOKUP(N22,[10]clt!AW48:BD55,7,FALSE)-SUM(B124:B132)))</f>
        <v>9</v>
      </c>
      <c r="C133" s="467">
        <f ca="1">IF([10]résultats!$BD$1&lt;=7,VLOOKUP(N22,F124:H131,3,FALSE)*2,VLOOKUP(N22,[10]clt!AW48:BD55,3,FALSE)*2)</f>
        <v>14</v>
      </c>
      <c r="D133" s="468">
        <f ca="1">IF(C133="","",B133/C133)</f>
        <v>0.6428571428571429</v>
      </c>
      <c r="E133" s="462" t="str">
        <f ca="1">ROUND(SUM('[10]résultats commentaires'!K138:K146)/COUNT('[10]résultats commentaires'!K138:K146),0)&amp; " points de moyenne en début de phase."</f>
        <v>812 points de moyenne en début de phase.</v>
      </c>
      <c r="F133" s="522"/>
      <c r="G133" s="523"/>
      <c r="H133" s="523"/>
      <c r="I133" s="523"/>
      <c r="J133" s="464" t="s">
        <v>445</v>
      </c>
      <c r="K133" s="523"/>
      <c r="L133" s="523"/>
      <c r="M133" s="465"/>
      <c r="Z133" s="1218"/>
      <c r="AA133" s="1218"/>
      <c r="AB133" s="1218"/>
      <c r="AC133" s="1218"/>
      <c r="AD133" s="1218"/>
      <c r="AE133" s="1218"/>
      <c r="AF133" s="1218"/>
      <c r="AG133" s="1218"/>
      <c r="AH133" s="1218"/>
      <c r="AI133" s="1218"/>
      <c r="AJ133" s="1218"/>
      <c r="AK133" s="1218"/>
      <c r="AL133" s="1218"/>
    </row>
    <row r="134" spans="1:38" ht="15" customHeight="1">
      <c r="A134" s="527" t="s">
        <v>156</v>
      </c>
      <c r="B134" s="528">
        <f ca="1">SUM(B124:B133)</f>
        <v>63</v>
      </c>
      <c r="C134" s="528">
        <f ca="1">SUM(C124:C133)</f>
        <v>95</v>
      </c>
      <c r="D134" s="529">
        <f ca="1">IF(C134="","",B134/C134)</f>
        <v>0.66315789473684206</v>
      </c>
      <c r="E134" s="469" t="str">
        <f>IF($F$12="",'[10]résultats des équipes'!AJ90,'[10]résultats des équipes'!AJ97)</f>
        <v>Vict 11 - 3</v>
      </c>
      <c r="F134" s="470" t="str">
        <f>IF($F$12="",'[10]résultats des équipes'!AL90,'[10]résultats des équipes'!AL97)</f>
        <v>ES ST-AVE 1</v>
      </c>
      <c r="G134" s="510"/>
      <c r="H134" s="510"/>
      <c r="I134" s="510"/>
      <c r="J134" s="510"/>
      <c r="K134" s="510"/>
      <c r="L134" s="510"/>
      <c r="M134" s="473"/>
      <c r="Z134" s="1218"/>
      <c r="AA134" s="1218"/>
      <c r="AB134" s="1218"/>
      <c r="AC134" s="1218"/>
      <c r="AD134" s="1218"/>
      <c r="AE134" s="1218"/>
      <c r="AF134" s="1218"/>
      <c r="AG134" s="1218"/>
      <c r="AH134" s="1218"/>
      <c r="AI134" s="1218"/>
      <c r="AJ134" s="1218"/>
      <c r="AK134" s="1218"/>
      <c r="AL134" s="1218"/>
    </row>
    <row r="135" spans="1:38" ht="14.25" customHeight="1">
      <c r="A135" s="1219" t="s">
        <v>446</v>
      </c>
      <c r="B135" s="1220"/>
      <c r="C135" s="1220"/>
      <c r="D135" s="1220"/>
      <c r="E135" s="474" t="str">
        <f>IF($F$12="",'[10]résultats des équipes'!AJ91,'[10]résultats des équipes'!AJ98)</f>
        <v>Vict 10 - 4</v>
      </c>
      <c r="F135" s="475" t="str">
        <f>IF($F$12="",'[10]résultats des équipes'!AL91,'[10]résultats des équipes'!AL98)</f>
        <v>CTT MENIMUR 6</v>
      </c>
      <c r="G135" s="510"/>
      <c r="H135" s="510"/>
      <c r="I135" s="510"/>
      <c r="J135" s="510"/>
      <c r="K135" s="510"/>
      <c r="L135" s="510"/>
      <c r="M135" s="473"/>
      <c r="Z135" s="1218"/>
      <c r="AA135" s="1218"/>
      <c r="AB135" s="1218"/>
      <c r="AC135" s="1218"/>
      <c r="AD135" s="1218"/>
      <c r="AE135" s="1218"/>
      <c r="AF135" s="1218"/>
      <c r="AG135" s="1218"/>
      <c r="AH135" s="1218"/>
      <c r="AI135" s="1218"/>
      <c r="AJ135" s="1218"/>
      <c r="AK135" s="1218"/>
      <c r="AL135" s="1218"/>
    </row>
    <row r="136" spans="1:38" ht="15" customHeight="1">
      <c r="A136" s="1221"/>
      <c r="B136" s="1222"/>
      <c r="C136" s="1222"/>
      <c r="D136" s="1222"/>
      <c r="E136" s="474" t="str">
        <f>IF($F$12="",'[10]résultats des équipes'!AJ92,'[10]résultats des équipes'!AJ99)</f>
        <v>Vict 11 - 3</v>
      </c>
      <c r="F136" s="475" t="str">
        <f>IF($F$12="",'[10]résultats des équipes'!AL92,'[10]résultats des équipes'!AL99)</f>
        <v>RAQ PEILLAC 1</v>
      </c>
      <c r="G136" s="510"/>
      <c r="H136" s="510"/>
      <c r="I136" s="510"/>
      <c r="J136" s="510"/>
      <c r="K136" s="510"/>
      <c r="L136" s="510"/>
      <c r="M136" s="473"/>
      <c r="Z136" s="1218"/>
      <c r="AA136" s="1218"/>
      <c r="AB136" s="1218"/>
      <c r="AC136" s="1218"/>
      <c r="AD136" s="1218"/>
      <c r="AE136" s="1218"/>
      <c r="AF136" s="1218"/>
      <c r="AG136" s="1218"/>
      <c r="AH136" s="1218"/>
      <c r="AI136" s="1218"/>
      <c r="AJ136" s="1218"/>
      <c r="AK136" s="1218"/>
      <c r="AL136" s="1218"/>
    </row>
    <row r="137" spans="1:38" ht="15" customHeight="1">
      <c r="A137" s="1221"/>
      <c r="B137" s="1222"/>
      <c r="C137" s="1222"/>
      <c r="D137" s="1222"/>
      <c r="E137" s="474" t="str">
        <f>IF($F$12="",'[10]résultats des équipes'!AJ93,'[10]résultats des équipes'!AJ100)</f>
        <v>Nul 7 - 7</v>
      </c>
      <c r="F137" s="475" t="str">
        <f>IF($F$12="",'[10]résultats des équipes'!AL93,'[10]résultats des équipes'!AL100)</f>
        <v>FC ST-RAOUL 2</v>
      </c>
      <c r="G137" s="510"/>
      <c r="H137" s="510"/>
      <c r="I137" s="510"/>
      <c r="J137" s="510"/>
      <c r="K137" s="510"/>
      <c r="L137" s="510"/>
      <c r="M137" s="473"/>
      <c r="AL137" s="531"/>
    </row>
    <row r="138" spans="1:38" ht="15" customHeight="1">
      <c r="A138" s="1221"/>
      <c r="B138" s="1222"/>
      <c r="C138" s="1222"/>
      <c r="D138" s="1222"/>
      <c r="E138" s="474" t="str">
        <f>IF($F$12="",'[10]résultats des équipes'!AJ94,'[10]résultats des équipes'!AJ101)</f>
        <v>Vict 11 - 3</v>
      </c>
      <c r="F138" s="475" t="str">
        <f>IF($F$12="",'[10]résultats des équipes'!AL94,'[10]résultats des équipes'!AL101)</f>
        <v>JA PLEUCADEUC 3</v>
      </c>
      <c r="G138" s="510"/>
      <c r="H138" s="510"/>
      <c r="I138" s="510"/>
      <c r="J138" s="510"/>
      <c r="K138" s="510"/>
      <c r="L138" s="510"/>
      <c r="M138" s="473"/>
      <c r="AL138" s="532"/>
    </row>
    <row r="139" spans="1:38" ht="15" customHeight="1">
      <c r="A139" s="1221"/>
      <c r="B139" s="1222"/>
      <c r="C139" s="1222"/>
      <c r="D139" s="1222"/>
      <c r="E139" s="484" t="str">
        <f>IF($F$12="",'[10]résultats des équipes'!AJ95,'[10]résultats des équipes'!AJ102)</f>
        <v>Vict 8 - 6</v>
      </c>
      <c r="F139" s="485" t="str">
        <f>IF($F$12="",'[10]résultats des équipes'!AL95,'[10]résultats des équipes'!AL102)</f>
        <v>ARGOET STT 2</v>
      </c>
      <c r="G139" s="510"/>
      <c r="H139" s="493"/>
      <c r="I139" s="493"/>
      <c r="J139" s="493"/>
      <c r="K139" s="493"/>
      <c r="L139" s="493"/>
      <c r="M139" s="494"/>
      <c r="AL139" s="532"/>
    </row>
    <row r="140" spans="1:38" ht="15" customHeight="1">
      <c r="A140" s="1223"/>
      <c r="B140" s="1224"/>
      <c r="C140" s="1224"/>
      <c r="D140" s="1224"/>
      <c r="E140" s="498" t="str">
        <f>IF($F$12="",'[10]résultats des équipes'!AJ96,'[10]résultats des équipes'!AJ103)</f>
        <v>Déf 9 - 5</v>
      </c>
      <c r="F140" s="499" t="str">
        <f>IF($F$12="",'[10]résultats des équipes'!AL96,'[10]résultats des équipes'!AL103)</f>
        <v>SENE TT 3</v>
      </c>
      <c r="G140" s="513"/>
      <c r="H140" s="514"/>
      <c r="I140" s="514"/>
      <c r="J140" s="514"/>
      <c r="K140" s="514"/>
      <c r="L140" s="514"/>
      <c r="M140" s="494"/>
      <c r="AL140" s="532"/>
    </row>
    <row r="141" spans="1:38" ht="15" customHeight="1">
      <c r="A141" s="1206"/>
      <c r="B141" s="1225"/>
      <c r="C141" s="1225"/>
      <c r="D141" s="1225"/>
      <c r="E141" s="1225"/>
      <c r="F141" s="1225"/>
      <c r="G141" s="1225"/>
      <c r="H141" s="1225"/>
      <c r="I141" s="1225"/>
      <c r="J141" s="1225"/>
      <c r="K141" s="1225"/>
      <c r="L141" s="1225"/>
      <c r="M141" s="1226"/>
      <c r="AL141" s="532"/>
    </row>
    <row r="142" spans="1:38" ht="15" hidden="1" customHeight="1">
      <c r="A142" s="1227"/>
      <c r="B142" s="1228"/>
      <c r="C142" s="1228"/>
      <c r="D142" s="1228"/>
      <c r="E142" s="1228"/>
      <c r="F142" s="1228"/>
      <c r="G142" s="1228"/>
      <c r="H142" s="1228"/>
      <c r="I142" s="1228"/>
      <c r="J142" s="1228"/>
      <c r="K142" s="1228"/>
      <c r="L142" s="1228"/>
      <c r="M142" s="1229"/>
      <c r="AL142" s="532"/>
    </row>
    <row r="143" spans="1:38" ht="57" hidden="1" customHeight="1">
      <c r="A143" s="1230"/>
      <c r="B143" s="1231"/>
      <c r="C143" s="1231"/>
      <c r="D143" s="1231"/>
      <c r="E143" s="1231"/>
      <c r="F143" s="1231"/>
      <c r="G143" s="1231"/>
      <c r="H143" s="1231"/>
      <c r="I143" s="1231"/>
      <c r="J143" s="1231"/>
      <c r="K143" s="1231"/>
      <c r="L143" s="1231"/>
      <c r="M143" s="1232"/>
      <c r="AL143" s="532"/>
    </row>
    <row r="144" spans="1:38" ht="15" customHeight="1">
      <c r="A144" s="422" t="s">
        <v>431</v>
      </c>
      <c r="B144" s="423" t="s">
        <v>15</v>
      </c>
      <c r="C144" s="423" t="s">
        <v>348</v>
      </c>
      <c r="D144" s="526" t="s">
        <v>432</v>
      </c>
      <c r="E144" s="425" t="s">
        <v>17</v>
      </c>
      <c r="F144" s="426" t="str">
        <f ca="1">P23</f>
        <v>MTT 7: D3   F</v>
      </c>
      <c r="G144" s="427" t="s">
        <v>172</v>
      </c>
      <c r="H144" s="427" t="s">
        <v>433</v>
      </c>
      <c r="I144" s="428" t="s">
        <v>397</v>
      </c>
      <c r="J144" s="428" t="s">
        <v>174</v>
      </c>
      <c r="K144" s="428" t="s">
        <v>175</v>
      </c>
      <c r="L144" s="428" t="s">
        <v>176</v>
      </c>
      <c r="M144" s="428" t="s">
        <v>177</v>
      </c>
      <c r="AL144" s="532"/>
    </row>
    <row r="145" spans="1:38" ht="15" customHeight="1">
      <c r="A145" s="439" t="str">
        <f ca="1">[10]résultats!$AR$82</f>
        <v>Bousseau Yannick</v>
      </c>
      <c r="B145" s="439">
        <f ca="1">[10]résultats!$AT$82</f>
        <v>1</v>
      </c>
      <c r="C145" s="439">
        <f ca="1">[10]résultats!$AU$82</f>
        <v>21</v>
      </c>
      <c r="D145" s="440">
        <f t="shared" ref="D145:D155" ca="1" si="7">IF(C145="","",B145/C145)</f>
        <v>4.7619047619047616E-2</v>
      </c>
      <c r="E145" s="506">
        <f>'[10]résultats commentaires'!B176</f>
        <v>1</v>
      </c>
      <c r="F145" s="442" t="str">
        <f ca="1">'[10]résultats commentaires'!C176</f>
        <v>AS ST PHILIBERT 2</v>
      </c>
      <c r="G145" s="443">
        <f ca="1">'[10]résultats commentaires'!D176</f>
        <v>21.000096326756061</v>
      </c>
      <c r="H145" s="444">
        <f ca="1">'[10]résultats commentaires'!E176</f>
        <v>7</v>
      </c>
      <c r="I145" s="444">
        <f ca="1">'[10]résultats commentaires'!F176</f>
        <v>7</v>
      </c>
      <c r="J145" s="444">
        <f ca="1">'[10]résultats commentaires'!G176</f>
        <v>0</v>
      </c>
      <c r="K145" s="444">
        <f ca="1">'[10]résultats commentaires'!H176</f>
        <v>0</v>
      </c>
      <c r="L145" s="444">
        <f ca="1">'[10]résultats commentaires'!I176</f>
        <v>74</v>
      </c>
      <c r="M145" s="444">
        <f ca="1">'[10]résultats commentaires'!J176</f>
        <v>24</v>
      </c>
      <c r="AL145" s="532"/>
    </row>
    <row r="146" spans="1:38" ht="15" customHeight="1">
      <c r="A146" s="439" t="str">
        <f ca="1">[10]résultats!$AR$83</f>
        <v>Zaragoza Quentin</v>
      </c>
      <c r="B146" s="439">
        <f ca="1">[10]résultats!$AT$83</f>
        <v>4</v>
      </c>
      <c r="C146" s="439">
        <f ca="1">[10]résultats!$AU$83</f>
        <v>18</v>
      </c>
      <c r="D146" s="440">
        <f t="shared" ca="1" si="7"/>
        <v>0.22222222222222221</v>
      </c>
      <c r="E146" s="506">
        <f ca="1">'[10]résultats commentaires'!B177</f>
        <v>2</v>
      </c>
      <c r="F146" s="442" t="str">
        <f ca="1">'[10]résultats commentaires'!C177</f>
        <v>GOLFETT PLOEREN 2</v>
      </c>
      <c r="G146" s="443">
        <f ca="1">'[10]résultats commentaires'!D177</f>
        <v>17.000094423364974</v>
      </c>
      <c r="H146" s="444">
        <f ca="1">'[10]résultats commentaires'!E177</f>
        <v>7</v>
      </c>
      <c r="I146" s="444">
        <f ca="1">'[10]résultats commentaires'!F177</f>
        <v>5</v>
      </c>
      <c r="J146" s="444">
        <f ca="1">'[10]résultats commentaires'!G177</f>
        <v>0</v>
      </c>
      <c r="K146" s="444">
        <f ca="1">'[10]résultats commentaires'!H177</f>
        <v>2</v>
      </c>
      <c r="L146" s="444">
        <f ca="1">'[10]résultats commentaires'!I177</f>
        <v>62</v>
      </c>
      <c r="M146" s="444">
        <f ca="1">'[10]résultats commentaires'!J177</f>
        <v>36</v>
      </c>
      <c r="AL146" s="532"/>
    </row>
    <row r="147" spans="1:38" ht="15" customHeight="1">
      <c r="A147" s="439" t="str">
        <f ca="1">[10]résultats!$AR$84</f>
        <v>Zaragoza José</v>
      </c>
      <c r="B147" s="439">
        <f ca="1">[10]résultats!$AT$84</f>
        <v>12</v>
      </c>
      <c r="C147" s="439">
        <f ca="1">[10]résultats!$AU$84</f>
        <v>15</v>
      </c>
      <c r="D147" s="440">
        <f t="shared" ca="1" si="7"/>
        <v>0.8</v>
      </c>
      <c r="E147" s="506">
        <f ca="1">'[10]résultats commentaires'!B178</f>
        <v>3</v>
      </c>
      <c r="F147" s="442" t="str">
        <f ca="1">'[10]résultats commentaires'!C178</f>
        <v>TT QUIBERON 1</v>
      </c>
      <c r="G147" s="443">
        <f ca="1">'[10]résultats commentaires'!D178</f>
        <v>14.000077153885668</v>
      </c>
      <c r="H147" s="444">
        <f ca="1">'[10]résultats commentaires'!E178</f>
        <v>7</v>
      </c>
      <c r="I147" s="444">
        <f ca="1">'[10]résultats commentaires'!F178</f>
        <v>3</v>
      </c>
      <c r="J147" s="444">
        <f ca="1">'[10]résultats commentaires'!G178</f>
        <v>1</v>
      </c>
      <c r="K147" s="444">
        <f ca="1">'[10]résultats commentaires'!H178</f>
        <v>3</v>
      </c>
      <c r="L147" s="444">
        <f ca="1">'[10]résultats commentaires'!I178</f>
        <v>51</v>
      </c>
      <c r="M147" s="444">
        <f ca="1">'[10]résultats commentaires'!J178</f>
        <v>47</v>
      </c>
      <c r="AL147" s="532"/>
    </row>
    <row r="148" spans="1:38" ht="15" customHeight="1">
      <c r="A148" s="439" t="str">
        <f ca="1">[10]résultats!$AR$85</f>
        <v>Craineguy David</v>
      </c>
      <c r="B148" s="439">
        <f ca="1">[10]résultats!$AT$85</f>
        <v>1</v>
      </c>
      <c r="C148" s="439">
        <f ca="1">[10]résultats!$AU$85</f>
        <v>9</v>
      </c>
      <c r="D148" s="440">
        <f t="shared" ca="1" si="7"/>
        <v>0.1111111111111111</v>
      </c>
      <c r="E148" s="506">
        <f ca="1">'[10]résultats commentaires'!B179</f>
        <v>4</v>
      </c>
      <c r="F148" s="442" t="str">
        <f ca="1">'[10]résultats commentaires'!C179</f>
        <v>BAUD TT 3</v>
      </c>
      <c r="G148" s="443">
        <f ca="1">'[10]résultats commentaires'!D179</f>
        <v>13.00009016263078</v>
      </c>
      <c r="H148" s="444">
        <f ca="1">'[10]résultats commentaires'!E179</f>
        <v>7</v>
      </c>
      <c r="I148" s="444">
        <f ca="1">'[10]résultats commentaires'!F179</f>
        <v>3</v>
      </c>
      <c r="J148" s="444">
        <f ca="1">'[10]résultats commentaires'!G179</f>
        <v>0</v>
      </c>
      <c r="K148" s="444">
        <f ca="1">'[10]résultats commentaires'!H179</f>
        <v>4</v>
      </c>
      <c r="L148" s="444">
        <f ca="1">'[10]résultats commentaires'!I179</f>
        <v>43</v>
      </c>
      <c r="M148" s="444">
        <f ca="1">'[10]résultats commentaires'!J179</f>
        <v>55</v>
      </c>
      <c r="AL148" s="532"/>
    </row>
    <row r="149" spans="1:38" ht="15" customHeight="1">
      <c r="A149" s="450" t="str">
        <f ca="1">[10]résultats!$AR$86</f>
        <v>Jugé Léana</v>
      </c>
      <c r="B149" s="450">
        <f ca="1">[10]résultats!$AT$86</f>
        <v>0</v>
      </c>
      <c r="C149" s="450">
        <f ca="1">[10]résultats!$AU$86</f>
        <v>6</v>
      </c>
      <c r="D149" s="451">
        <f t="shared" ca="1" si="7"/>
        <v>0</v>
      </c>
      <c r="E149" s="506" t="str">
        <f ca="1">'[10]résultats commentaires'!B180</f>
        <v>-</v>
      </c>
      <c r="F149" s="442" t="str">
        <f ca="1">'[10]résultats commentaires'!C180</f>
        <v>TT ERDEVEN-BELZ 1</v>
      </c>
      <c r="G149" s="443">
        <f ca="1">'[10]résultats commentaires'!D180</f>
        <v>13.000065330690823</v>
      </c>
      <c r="H149" s="444">
        <f ca="1">'[10]résultats commentaires'!E180</f>
        <v>5</v>
      </c>
      <c r="I149" s="444">
        <f ca="1">'[10]résultats commentaires'!F180</f>
        <v>4</v>
      </c>
      <c r="J149" s="444">
        <f ca="1">'[10]résultats commentaires'!G180</f>
        <v>0</v>
      </c>
      <c r="K149" s="444">
        <f ca="1">'[10]résultats commentaires'!H180</f>
        <v>1</v>
      </c>
      <c r="L149" s="444">
        <f ca="1">'[10]résultats commentaires'!I180</f>
        <v>48</v>
      </c>
      <c r="M149" s="444">
        <f ca="1">'[10]résultats commentaires'!J180</f>
        <v>22</v>
      </c>
      <c r="AL149" s="532"/>
    </row>
    <row r="150" spans="1:38" ht="15" customHeight="1">
      <c r="A150" s="450" t="str">
        <f ca="1">[10]résultats!$AR$87</f>
        <v>Sail Rémy</v>
      </c>
      <c r="B150" s="450">
        <f ca="1">[10]résultats!$AT$87</f>
        <v>3</v>
      </c>
      <c r="C150" s="450">
        <f ca="1">[10]résultats!$AU$87</f>
        <v>6</v>
      </c>
      <c r="D150" s="451">
        <f t="shared" ca="1" si="7"/>
        <v>0.5</v>
      </c>
      <c r="E150" s="506">
        <f ca="1">'[10]résultats commentaires'!B181</f>
        <v>6</v>
      </c>
      <c r="F150" s="442" t="str">
        <f ca="1">'[10]résultats commentaires'!C181</f>
        <v>AJK VANNES 5</v>
      </c>
      <c r="G150" s="443">
        <f ca="1">'[10]résultats commentaires'!D181</f>
        <v>11.0000936543503</v>
      </c>
      <c r="H150" s="444">
        <f ca="1">'[10]résultats commentaires'!E181</f>
        <v>7</v>
      </c>
      <c r="I150" s="444">
        <f ca="1">'[10]résultats commentaires'!F181</f>
        <v>2</v>
      </c>
      <c r="J150" s="444">
        <f ca="1">'[10]résultats commentaires'!G181</f>
        <v>0</v>
      </c>
      <c r="K150" s="444">
        <f ca="1">'[10]résultats commentaires'!H181</f>
        <v>5</v>
      </c>
      <c r="L150" s="444">
        <f ca="1">'[10]résultats commentaires'!I181</f>
        <v>46</v>
      </c>
      <c r="M150" s="444">
        <f ca="1">'[10]résultats commentaires'!J181</f>
        <v>52</v>
      </c>
      <c r="AL150" s="532"/>
    </row>
    <row r="151" spans="1:38" ht="15" customHeight="1">
      <c r="A151" s="450" t="str">
        <f ca="1">[10]résultats!$AR$88</f>
        <v>Simon Titouan</v>
      </c>
      <c r="B151" s="450">
        <f ca="1">[10]résultats!$AT$88</f>
        <v>0</v>
      </c>
      <c r="C151" s="450">
        <f ca="1">[10]résultats!$AU$88</f>
        <v>3</v>
      </c>
      <c r="D151" s="451">
        <f t="shared" ca="1" si="7"/>
        <v>0</v>
      </c>
      <c r="E151" s="506">
        <f ca="1">'[10]résultats commentaires'!B182</f>
        <v>7</v>
      </c>
      <c r="F151" s="442" t="str">
        <f ca="1">'[10]résultats commentaires'!C182</f>
        <v>AL PLOEMEUR 8</v>
      </c>
      <c r="G151" s="443">
        <f ca="1">'[10]résultats commentaires'!D182</f>
        <v>10.000047295362281</v>
      </c>
      <c r="H151" s="444">
        <f ca="1">'[10]résultats commentaires'!E182</f>
        <v>6</v>
      </c>
      <c r="I151" s="444">
        <f ca="1">'[10]résultats commentaires'!F182</f>
        <v>2</v>
      </c>
      <c r="J151" s="444">
        <f ca="1">'[10]résultats commentaires'!G182</f>
        <v>0</v>
      </c>
      <c r="K151" s="444">
        <f ca="1">'[10]résultats commentaires'!H182</f>
        <v>4</v>
      </c>
      <c r="L151" s="444">
        <f ca="1">'[10]résultats commentaires'!I182</f>
        <v>25</v>
      </c>
      <c r="M151" s="444">
        <f ca="1">'[10]résultats commentaires'!J182</f>
        <v>59</v>
      </c>
      <c r="AL151" s="532"/>
    </row>
    <row r="152" spans="1:38" ht="15" customHeight="1">
      <c r="A152" s="450" t="str">
        <f ca="1">[10]résultats!$AR$89</f>
        <v>Ayoul-Bellot Thais</v>
      </c>
      <c r="B152" s="450">
        <f ca="1">[10]résultats!$AT$89</f>
        <v>0</v>
      </c>
      <c r="C152" s="450">
        <f ca="1">[10]résultats!$AU$89</f>
        <v>3</v>
      </c>
      <c r="D152" s="451">
        <f t="shared" ca="1" si="7"/>
        <v>0</v>
      </c>
      <c r="E152" s="506">
        <f ca="1">'[10]résultats commentaires'!B183</f>
        <v>7</v>
      </c>
      <c r="F152" s="442" t="str">
        <f ca="1">'[10]résultats commentaires'!C183</f>
        <v>MUZILLAC TT 7</v>
      </c>
      <c r="G152" s="443">
        <f ca="1">'[10]résultats commentaires'!D183</f>
        <v>8.0000308160880067</v>
      </c>
      <c r="H152" s="444">
        <f ca="1">'[10]résultats commentaires'!E183</f>
        <v>7</v>
      </c>
      <c r="I152" s="444">
        <f ca="1">'[10]résultats commentaires'!F183</f>
        <v>0</v>
      </c>
      <c r="J152" s="444">
        <f ca="1">'[10]résultats commentaires'!G183</f>
        <v>1</v>
      </c>
      <c r="K152" s="444">
        <f ca="1">'[10]résultats commentaires'!H183</f>
        <v>6</v>
      </c>
      <c r="L152" s="444">
        <f ca="1">'[10]résultats commentaires'!I183</f>
        <v>24</v>
      </c>
      <c r="M152" s="444">
        <f ca="1">'[10]résultats commentaires'!J183</f>
        <v>74</v>
      </c>
      <c r="AL152" s="532"/>
    </row>
    <row r="153" spans="1:38" ht="15" customHeight="1">
      <c r="A153" s="450" t="str">
        <f ca="1">[10]résultats!$AR$90</f>
        <v>Cojean Gwendal</v>
      </c>
      <c r="B153" s="450">
        <f ca="1">[10]résultats!$AT$90</f>
        <v>0</v>
      </c>
      <c r="C153" s="450">
        <f ca="1">[10]résultats!$AU$90</f>
        <v>3</v>
      </c>
      <c r="D153" s="451">
        <f t="shared" ca="1" si="7"/>
        <v>0</v>
      </c>
      <c r="E153" s="458" t="str">
        <f ca="1">[10]équipes!N4&amp;" en fin de phase contre "</f>
        <v xml:space="preserve">31 ans et 759 pts de moy. en fin de phase contre </v>
      </c>
      <c r="F153" s="354"/>
      <c r="G153" s="459"/>
      <c r="H153" s="459"/>
      <c r="I153" s="459"/>
      <c r="J153" s="459"/>
      <c r="K153" s="459"/>
      <c r="L153" s="459"/>
      <c r="M153" s="351"/>
      <c r="O153"/>
      <c r="AL153" s="532"/>
    </row>
    <row r="154" spans="1:38" ht="15" customHeight="1">
      <c r="A154" s="466" t="s">
        <v>435</v>
      </c>
      <c r="B154" s="467">
        <f ca="1">IF(A145="",0,IF([10]résultats!$BD$1&lt;=7,VLOOKUP(N23,F145:M152,7,FALSE)-SUM(B145:B152),VLOOKUP(N23,[10]clt!AW57:BD64,7,FALSE)-SUM(B145:B153)))</f>
        <v>3</v>
      </c>
      <c r="C154" s="467">
        <f ca="1">IF([10]résultats!$BD$1&lt;=7,VLOOKUP(N23,F145:H152,3,FALSE)*2,VLOOKUP(N23,[10]clt!AW57:BD64,3,FALSE)*2)</f>
        <v>14</v>
      </c>
      <c r="D154" s="468">
        <f t="shared" ca="1" si="7"/>
        <v>0.21428571428571427</v>
      </c>
      <c r="E154" s="462" t="str">
        <f ca="1">ROUND(SUM('[10]résultats commentaires'!K161:K167)/COUNT('[10]résultats commentaires'!K161:K167),0)&amp; " points de moyenne en début de phase."</f>
        <v>742 points de moyenne en début de phase.</v>
      </c>
      <c r="F154" s="522"/>
      <c r="G154" s="463"/>
      <c r="H154" s="463"/>
      <c r="I154" s="463"/>
      <c r="J154" s="464" t="s">
        <v>447</v>
      </c>
      <c r="K154" s="463"/>
      <c r="L154" s="463"/>
      <c r="M154" s="465"/>
      <c r="P154" s="533"/>
      <c r="AL154" s="532"/>
    </row>
    <row r="155" spans="1:38" ht="15" customHeight="1">
      <c r="A155" s="527" t="s">
        <v>156</v>
      </c>
      <c r="B155" s="528">
        <f ca="1">SUM(B145:B154)</f>
        <v>24</v>
      </c>
      <c r="C155" s="528">
        <f ca="1">SUM(C145:C154)</f>
        <v>98</v>
      </c>
      <c r="D155" s="529">
        <f t="shared" ca="1" si="7"/>
        <v>0.24489795918367346</v>
      </c>
      <c r="E155" s="469" t="str">
        <f>IF($F$12="",'[10]résultats des équipes'!AP90,'[10]résultats des équipes'!AP97)</f>
        <v>Déf 9 - 5</v>
      </c>
      <c r="F155" s="470" t="str">
        <f>IF($F$12="",'[10]résultats des équipes'!AR90,'[10]résultats des équipes'!AR97)</f>
        <v>AJK VANNES 5</v>
      </c>
      <c r="G155" s="510"/>
      <c r="H155" s="510"/>
      <c r="I155" s="510"/>
      <c r="J155" s="510"/>
      <c r="K155" s="510"/>
      <c r="L155" s="510"/>
      <c r="M155" s="473"/>
      <c r="AL155" s="532"/>
    </row>
    <row r="156" spans="1:38">
      <c r="A156" s="1189" t="s">
        <v>448</v>
      </c>
      <c r="B156" s="1190"/>
      <c r="C156" s="1190"/>
      <c r="D156" s="1190"/>
      <c r="E156" s="474" t="str">
        <f>IF($F$12="",'[10]résultats des équipes'!AP91,'[10]résultats des équipes'!AP98)</f>
        <v>Nul 7 - 7</v>
      </c>
      <c r="F156" s="475" t="str">
        <f>IF($F$12="",'[10]résultats des équipes'!AR91,'[10]résultats des équipes'!AR98)</f>
        <v>TT QUIBERON 1</v>
      </c>
      <c r="G156" s="510"/>
      <c r="H156" s="510"/>
      <c r="I156" s="510"/>
      <c r="J156" s="510"/>
      <c r="K156" s="510"/>
      <c r="L156" s="510"/>
      <c r="M156" s="473"/>
      <c r="AL156" s="532"/>
    </row>
    <row r="157" spans="1:38" ht="15" customHeight="1">
      <c r="A157" s="1191"/>
      <c r="B157" s="1192"/>
      <c r="C157" s="1192"/>
      <c r="D157" s="1192"/>
      <c r="E157" s="474" t="str">
        <f>IF($F$12="",'[10]résultats des équipes'!AP92,'[10]résultats des équipes'!AP99)</f>
        <v>Déf 10 - 4</v>
      </c>
      <c r="F157" s="475" t="str">
        <f>IF($F$12="",'[10]résultats des équipes'!AR92,'[10]résultats des équipes'!AR99)</f>
        <v>AS ST PHILIBERT 2</v>
      </c>
      <c r="G157" s="510"/>
      <c r="H157" s="510"/>
      <c r="I157" s="510"/>
      <c r="J157" s="510"/>
      <c r="K157" s="510"/>
      <c r="L157" s="510"/>
      <c r="M157" s="473"/>
      <c r="AL157" s="532"/>
    </row>
    <row r="158" spans="1:38" ht="15.75" customHeight="1">
      <c r="A158" s="1191"/>
      <c r="B158" s="1192"/>
      <c r="C158" s="1192"/>
      <c r="D158" s="1192"/>
      <c r="E158" s="474" t="str">
        <f>IF($F$12="",'[10]résultats des équipes'!AP93,'[10]résultats des équipes'!AP100)</f>
        <v>Déf 11 - 3</v>
      </c>
      <c r="F158" s="475" t="str">
        <f>IF($F$12="",'[10]résultats des équipes'!AR93,'[10]résultats des équipes'!AR100)</f>
        <v>TT ERDEVEN-BELZ 1</v>
      </c>
      <c r="G158" s="510"/>
      <c r="H158" s="510"/>
      <c r="I158" s="510"/>
      <c r="J158" s="510"/>
      <c r="K158" s="510"/>
      <c r="L158" s="510"/>
      <c r="M158" s="473"/>
      <c r="AL158" s="532"/>
    </row>
    <row r="159" spans="1:38">
      <c r="A159" s="1191"/>
      <c r="B159" s="1192"/>
      <c r="C159" s="1192"/>
      <c r="D159" s="1192"/>
      <c r="E159" s="474" t="str">
        <f>IF($F$12="",'[10]résultats des équipes'!AP94,'[10]résultats des équipes'!AP101)</f>
        <v>Déf 9 - 5</v>
      </c>
      <c r="F159" s="475" t="str">
        <f>IF($F$12="",'[10]résultats des équipes'!AR94,'[10]résultats des équipes'!AR101)</f>
        <v>AL PLOEMEUR 8</v>
      </c>
      <c r="G159" s="510"/>
      <c r="H159" s="510"/>
      <c r="I159" s="510"/>
      <c r="J159" s="510"/>
      <c r="K159" s="510"/>
      <c r="L159" s="510"/>
      <c r="M159" s="473"/>
      <c r="AL159" s="532"/>
    </row>
    <row r="160" spans="1:38">
      <c r="A160" s="1191"/>
      <c r="B160" s="1192"/>
      <c r="C160" s="1192"/>
      <c r="D160" s="1192"/>
      <c r="E160" s="484" t="str">
        <f>IF($F$12="",'[10]résultats des équipes'!AP95,'[10]résultats des équipes'!AP102)</f>
        <v>Déf 14 - 0</v>
      </c>
      <c r="F160" s="485" t="str">
        <f>IF($F$12="",'[10]résultats des équipes'!AR95,'[10]résultats des équipes'!AR102)</f>
        <v>BAUD TT 3</v>
      </c>
      <c r="G160" s="510"/>
      <c r="H160" s="493"/>
      <c r="I160" s="493"/>
      <c r="J160" s="493"/>
      <c r="K160" s="493"/>
      <c r="L160" s="493"/>
      <c r="M160" s="494"/>
      <c r="AL160" s="532"/>
    </row>
    <row r="161" spans="1:38">
      <c r="A161" s="1193"/>
      <c r="B161" s="1194"/>
      <c r="C161" s="1194"/>
      <c r="D161" s="1194"/>
      <c r="E161" s="498" t="str">
        <f>IF($F$12="",'[10]résultats des équipes'!AP96,'[10]résultats des équipes'!AP103)</f>
        <v>Déf 14 - 0</v>
      </c>
      <c r="F161" s="499" t="str">
        <f>IF($F$12="",'[10]résultats des équipes'!AR96,'[10]résultats des équipes'!AR103)</f>
        <v>GOLFETT PLOEREN 2</v>
      </c>
      <c r="G161" s="513"/>
      <c r="H161" s="514"/>
      <c r="I161" s="514"/>
      <c r="J161" s="514"/>
      <c r="K161" s="514"/>
      <c r="L161" s="514"/>
      <c r="M161" s="494"/>
      <c r="AL161" s="532"/>
    </row>
    <row r="162" spans="1:38">
      <c r="A162" s="1195"/>
      <c r="B162" s="1196"/>
      <c r="C162" s="1196"/>
      <c r="D162" s="1196"/>
      <c r="E162" s="1196"/>
      <c r="F162" s="1196"/>
      <c r="G162" s="1196"/>
      <c r="H162" s="1196"/>
      <c r="I162" s="1196"/>
      <c r="J162" s="1196"/>
      <c r="K162" s="1196"/>
      <c r="L162" s="1196"/>
      <c r="M162" s="1197"/>
      <c r="AL162" s="532"/>
    </row>
    <row r="163" spans="1:38" ht="80.25" hidden="1" customHeight="1">
      <c r="A163" s="1198"/>
      <c r="B163" s="1199"/>
      <c r="C163" s="1199"/>
      <c r="D163" s="1199"/>
      <c r="E163" s="1199"/>
      <c r="F163" s="1199"/>
      <c r="G163" s="1199"/>
      <c r="H163" s="1199"/>
      <c r="I163" s="1199"/>
      <c r="J163" s="1199"/>
      <c r="K163" s="1199"/>
      <c r="L163" s="1199"/>
      <c r="M163" s="1200"/>
      <c r="AL163" s="532"/>
    </row>
    <row r="164" spans="1:38" ht="15" customHeight="1">
      <c r="A164" s="422" t="s">
        <v>431</v>
      </c>
      <c r="B164" s="423" t="s">
        <v>15</v>
      </c>
      <c r="C164" s="423" t="s">
        <v>348</v>
      </c>
      <c r="D164" s="526" t="s">
        <v>432</v>
      </c>
      <c r="E164" s="425" t="str">
        <f>'[10]résultats commentaires'!B185</f>
        <v>Clt</v>
      </c>
      <c r="F164" s="426" t="str">
        <f>'[10]résultats commentaires'!C185</f>
        <v>MTT 8:  D4     G</v>
      </c>
      <c r="G164" s="427" t="str">
        <f>'[10]résultats commentaires'!D185</f>
        <v>Pts</v>
      </c>
      <c r="H164" s="427" t="str">
        <f>'[10]résultats commentaires'!E185</f>
        <v>Joués</v>
      </c>
      <c r="I164" s="428" t="str">
        <f>'[10]résultats commentaires'!F185</f>
        <v>vic</v>
      </c>
      <c r="J164" s="428" t="str">
        <f>'[10]résultats commentaires'!G185</f>
        <v>nul</v>
      </c>
      <c r="K164" s="428" t="str">
        <f>'[10]résultats commentaires'!H185</f>
        <v>déf</v>
      </c>
      <c r="L164" s="428" t="str">
        <f>'[10]résultats commentaires'!I185</f>
        <v>PG</v>
      </c>
      <c r="M164" s="428" t="str">
        <f>'[10]résultats commentaires'!J185</f>
        <v>PP</v>
      </c>
      <c r="AL164" s="532"/>
    </row>
    <row r="165" spans="1:38" ht="15" customHeight="1">
      <c r="A165" s="439" t="str">
        <f ca="1">[10]résultats!AY82</f>
        <v>Ravel Serge</v>
      </c>
      <c r="B165" s="439">
        <f ca="1">[10]résultats!BA82</f>
        <v>5</v>
      </c>
      <c r="C165" s="439">
        <f ca="1">[10]résultats!BB82</f>
        <v>18</v>
      </c>
      <c r="D165" s="440">
        <f t="shared" ref="D165:D175" ca="1" si="8">IF(C165="","",B165/C165)</f>
        <v>0.27777777777777779</v>
      </c>
      <c r="E165" s="506">
        <f>'[10]résultats commentaires'!B186</f>
        <v>1</v>
      </c>
      <c r="F165" s="442" t="str">
        <f ca="1">'[10]résultats commentaires'!C186</f>
        <v>TT PAYS LOCMINE 4</v>
      </c>
      <c r="G165" s="443">
        <f ca="1">'[10]résultats commentaires'!D186</f>
        <v>16.000073469798888</v>
      </c>
      <c r="H165" s="444">
        <f ca="1">'[10]résultats commentaires'!E186</f>
        <v>6</v>
      </c>
      <c r="I165" s="444">
        <f ca="1">'[10]résultats commentaires'!F186</f>
        <v>5</v>
      </c>
      <c r="J165" s="444">
        <f ca="1">'[10]résultats commentaires'!G186</f>
        <v>0</v>
      </c>
      <c r="K165" s="444">
        <f ca="1">'[10]résultats commentaires'!H186</f>
        <v>1</v>
      </c>
      <c r="L165" s="444">
        <f ca="1">'[10]résultats commentaires'!I186</f>
        <v>62</v>
      </c>
      <c r="M165" s="444">
        <f ca="1">'[10]résultats commentaires'!J186</f>
        <v>22</v>
      </c>
      <c r="AL165" s="532"/>
    </row>
    <row r="166" spans="1:38" ht="15" customHeight="1">
      <c r="A166" s="439" t="str">
        <f ca="1">[10]résultats!AY83</f>
        <v>Sail Anthony</v>
      </c>
      <c r="B166" s="439">
        <f ca="1">[10]résultats!BA83</f>
        <v>3</v>
      </c>
      <c r="C166" s="439">
        <f ca="1">[10]résultats!BB83</f>
        <v>15</v>
      </c>
      <c r="D166" s="440">
        <f t="shared" ca="1" si="8"/>
        <v>0.2</v>
      </c>
      <c r="E166" s="506" t="str">
        <f ca="1">'[10]résultats commentaires'!B187</f>
        <v>-</v>
      </c>
      <c r="F166" s="442" t="str">
        <f ca="1">'[10]résultats commentaires'!C187</f>
        <v>PLUNERET/MERIAD 4</v>
      </c>
      <c r="G166" s="443">
        <f ca="1">'[10]résultats commentaires'!D187</f>
        <v>16.000012515850084</v>
      </c>
      <c r="H166" s="444">
        <f ca="1">'[10]résultats commentaires'!E187</f>
        <v>6</v>
      </c>
      <c r="I166" s="444">
        <f ca="1">'[10]résultats commentaires'!F187</f>
        <v>5</v>
      </c>
      <c r="J166" s="444">
        <f ca="1">'[10]résultats commentaires'!G187</f>
        <v>0</v>
      </c>
      <c r="K166" s="444">
        <f ca="1">'[10]résultats commentaires'!H187</f>
        <v>1</v>
      </c>
      <c r="L166" s="444">
        <f ca="1">'[10]résultats commentaires'!I187</f>
        <v>62</v>
      </c>
      <c r="M166" s="444">
        <f ca="1">'[10]résultats commentaires'!J187</f>
        <v>22</v>
      </c>
      <c r="AL166" s="532"/>
    </row>
    <row r="167" spans="1:38" ht="15" customHeight="1">
      <c r="A167" s="439" t="str">
        <f ca="1">[10]résultats!AY84</f>
        <v>Guehennec Benoit</v>
      </c>
      <c r="B167" s="439">
        <f ca="1">[10]résultats!BA84</f>
        <v>9</v>
      </c>
      <c r="C167" s="439">
        <f ca="1">[10]résultats!BB84</f>
        <v>12</v>
      </c>
      <c r="D167" s="440">
        <f t="shared" ca="1" si="8"/>
        <v>0.75</v>
      </c>
      <c r="E167" s="506">
        <f ca="1">'[10]résultats commentaires'!B188</f>
        <v>3</v>
      </c>
      <c r="F167" s="442" t="str">
        <f ca="1">'[10]résultats commentaires'!C188</f>
        <v>ES PLESCOP TT 7</v>
      </c>
      <c r="G167" s="443">
        <f ca="1">'[10]résultats commentaires'!D188</f>
        <v>13.0000019872301</v>
      </c>
      <c r="H167" s="444">
        <f ca="1">'[10]résultats commentaires'!E188</f>
        <v>6</v>
      </c>
      <c r="I167" s="444">
        <f ca="1">'[10]résultats commentaires'!F188</f>
        <v>3</v>
      </c>
      <c r="J167" s="444">
        <f ca="1">'[10]résultats commentaires'!G188</f>
        <v>1</v>
      </c>
      <c r="K167" s="444">
        <f ca="1">'[10]résultats commentaires'!H188</f>
        <v>2</v>
      </c>
      <c r="L167" s="444">
        <f ca="1">'[10]résultats commentaires'!I188</f>
        <v>46</v>
      </c>
      <c r="M167" s="444">
        <f ca="1">'[10]résultats commentaires'!J188</f>
        <v>38</v>
      </c>
      <c r="AL167" s="532"/>
    </row>
    <row r="168" spans="1:38" ht="15" customHeight="1">
      <c r="A168" s="439" t="str">
        <f ca="1">[10]résultats!AY85</f>
        <v>Guillotin Marie-Paule</v>
      </c>
      <c r="B168" s="439">
        <f ca="1">[10]résultats!BA85</f>
        <v>4</v>
      </c>
      <c r="C168" s="439">
        <f ca="1">[10]résultats!BB85</f>
        <v>15</v>
      </c>
      <c r="D168" s="440">
        <f t="shared" ca="1" si="8"/>
        <v>0.26666666666666666</v>
      </c>
      <c r="E168" s="506">
        <f ca="1">'[10]résultats commentaires'!B189</f>
        <v>4</v>
      </c>
      <c r="F168" s="442" t="str">
        <f ca="1">'[10]résultats commentaires'!C189</f>
        <v>GOLFETT PLOEREN 4</v>
      </c>
      <c r="G168" s="443">
        <f ca="1">'[10]résultats commentaires'!D189</f>
        <v>12.000098908508861</v>
      </c>
      <c r="H168" s="444">
        <f ca="1">'[10]résultats commentaires'!E189</f>
        <v>6</v>
      </c>
      <c r="I168" s="444">
        <f ca="1">'[10]résultats commentaires'!F189</f>
        <v>3</v>
      </c>
      <c r="J168" s="444">
        <f ca="1">'[10]résultats commentaires'!G189</f>
        <v>0</v>
      </c>
      <c r="K168" s="444">
        <f ca="1">'[10]résultats commentaires'!H189</f>
        <v>3</v>
      </c>
      <c r="L168" s="444">
        <f ca="1">'[10]résultats commentaires'!I189</f>
        <v>36</v>
      </c>
      <c r="M168" s="444">
        <f ca="1">'[10]résultats commentaires'!J189</f>
        <v>48</v>
      </c>
      <c r="AL168" s="532"/>
    </row>
    <row r="169" spans="1:38" ht="15" customHeight="1">
      <c r="A169" s="450" t="str">
        <f ca="1">[10]résultats!AY86</f>
        <v>Jugé Léana</v>
      </c>
      <c r="B169" s="450">
        <f ca="1">[10]résultats!BA86</f>
        <v>1</v>
      </c>
      <c r="C169" s="450">
        <f ca="1">[10]résultats!BB86</f>
        <v>9</v>
      </c>
      <c r="D169" s="451">
        <f t="shared" ca="1" si="8"/>
        <v>0.1111111111111111</v>
      </c>
      <c r="E169" s="506">
        <f ca="1">'[10]résultats commentaires'!B190</f>
        <v>5</v>
      </c>
      <c r="F169" s="442" t="str">
        <f ca="1">'[10]résultats commentaires'!C190</f>
        <v>CTT MENIMUR 7</v>
      </c>
      <c r="G169" s="443">
        <f ca="1">'[10]résultats commentaires'!D190</f>
        <v>11.000030322107373</v>
      </c>
      <c r="H169" s="444">
        <f ca="1">'[10]résultats commentaires'!E190</f>
        <v>6</v>
      </c>
      <c r="I169" s="444">
        <f ca="1">'[10]résultats commentaires'!F190</f>
        <v>2</v>
      </c>
      <c r="J169" s="444">
        <f ca="1">'[10]résultats commentaires'!G190</f>
        <v>1</v>
      </c>
      <c r="K169" s="444">
        <f ca="1">'[10]résultats commentaires'!H190</f>
        <v>3</v>
      </c>
      <c r="L169" s="444">
        <f ca="1">'[10]résultats commentaires'!I190</f>
        <v>40</v>
      </c>
      <c r="M169" s="444">
        <f ca="1">'[10]résultats commentaires'!J190</f>
        <v>44</v>
      </c>
      <c r="AL169" s="532"/>
    </row>
    <row r="170" spans="1:38" ht="15" customHeight="1">
      <c r="A170" s="450" t="str">
        <f ca="1">[10]résultats!AY87</f>
        <v/>
      </c>
      <c r="B170" s="450" t="str">
        <f ca="1">[10]résultats!BA87</f>
        <v/>
      </c>
      <c r="C170" s="450" t="str">
        <f ca="1">[10]résultats!BB87</f>
        <v/>
      </c>
      <c r="D170" s="451" t="str">
        <f t="shared" ca="1" si="8"/>
        <v/>
      </c>
      <c r="E170" s="506">
        <f ca="1">'[10]résultats commentaires'!B191</f>
        <v>6</v>
      </c>
      <c r="F170" s="442" t="str">
        <f ca="1">'[10]résultats commentaires'!C191</f>
        <v>MUZILLAC TT 8</v>
      </c>
      <c r="G170" s="443">
        <f ca="1">'[10]résultats commentaires'!D191</f>
        <v>9.0000312649712857</v>
      </c>
      <c r="H170" s="444">
        <f ca="1">'[10]résultats commentaires'!E191</f>
        <v>6</v>
      </c>
      <c r="I170" s="444">
        <f ca="1">'[10]résultats commentaires'!F191</f>
        <v>1</v>
      </c>
      <c r="J170" s="444">
        <f ca="1">'[10]résultats commentaires'!G191</f>
        <v>1</v>
      </c>
      <c r="K170" s="444">
        <f ca="1">'[10]résultats commentaires'!H191</f>
        <v>4</v>
      </c>
      <c r="L170" s="444">
        <f ca="1">'[10]résultats commentaires'!I191</f>
        <v>27</v>
      </c>
      <c r="M170" s="444">
        <f ca="1">'[10]résultats commentaires'!J191</f>
        <v>57</v>
      </c>
      <c r="AL170" s="532"/>
    </row>
    <row r="171" spans="1:38" ht="15" customHeight="1">
      <c r="A171" s="450" t="str">
        <f ca="1">[10]résultats!AY88</f>
        <v/>
      </c>
      <c r="B171" s="450" t="str">
        <f ca="1">[10]résultats!BA88</f>
        <v/>
      </c>
      <c r="C171" s="450" t="str">
        <f ca="1">[10]résultats!BB88</f>
        <v/>
      </c>
      <c r="D171" s="451" t="str">
        <f t="shared" ca="1" si="8"/>
        <v/>
      </c>
      <c r="E171" s="506">
        <f ca="1">'[10]résultats commentaires'!B192</f>
        <v>7</v>
      </c>
      <c r="F171" s="442" t="str">
        <f ca="1">'[10]résultats commentaires'!C192</f>
        <v>AS ST PHILIBERT 3</v>
      </c>
      <c r="G171" s="443">
        <f ca="1">'[10]résultats commentaires'!D192</f>
        <v>7.0000225494893424</v>
      </c>
      <c r="H171" s="444">
        <f ca="1">'[10]résultats commentaires'!E192</f>
        <v>6</v>
      </c>
      <c r="I171" s="444">
        <f ca="1">'[10]résultats commentaires'!F192</f>
        <v>0</v>
      </c>
      <c r="J171" s="444">
        <f ca="1">'[10]résultats commentaires'!G192</f>
        <v>1</v>
      </c>
      <c r="K171" s="444">
        <f ca="1">'[10]résultats commentaires'!H192</f>
        <v>5</v>
      </c>
      <c r="L171" s="444">
        <f ca="1">'[10]résultats commentaires'!I192</f>
        <v>21</v>
      </c>
      <c r="M171" s="444">
        <f ca="1">'[10]résultats commentaires'!J192</f>
        <v>63</v>
      </c>
      <c r="AL171" s="532"/>
    </row>
    <row r="172" spans="1:38" ht="15" customHeight="1">
      <c r="A172" s="450" t="str">
        <f ca="1">[10]résultats!AY89</f>
        <v/>
      </c>
      <c r="B172" s="450" t="str">
        <f ca="1">[10]résultats!BA89</f>
        <v/>
      </c>
      <c r="C172" s="450" t="str">
        <f ca="1">[10]résultats!BB89</f>
        <v/>
      </c>
      <c r="D172" s="451" t="str">
        <f t="shared" ca="1" si="8"/>
        <v/>
      </c>
      <c r="E172" s="506">
        <f ca="1">'[10]résultats commentaires'!B193</f>
        <v>7</v>
      </c>
      <c r="F172" s="442" t="str">
        <f ca="1">'[10]résultats commentaires'!C193</f>
        <v>Exempt</v>
      </c>
      <c r="G172" s="443">
        <f ca="1">'[10]résultats commentaires'!D193</f>
        <v>5.1130897849606051E-5</v>
      </c>
      <c r="H172" s="444">
        <f ca="1">'[10]résultats commentaires'!E193</f>
        <v>0</v>
      </c>
      <c r="I172" s="444">
        <f ca="1">'[10]résultats commentaires'!F193</f>
        <v>0</v>
      </c>
      <c r="J172" s="444">
        <f ca="1">'[10]résultats commentaires'!G193</f>
        <v>0</v>
      </c>
      <c r="K172" s="444">
        <f ca="1">'[10]résultats commentaires'!H193</f>
        <v>0</v>
      </c>
      <c r="L172" s="444">
        <f ca="1">'[10]résultats commentaires'!I193</f>
        <v>0</v>
      </c>
      <c r="M172" s="444">
        <f ca="1">'[10]résultats commentaires'!J193</f>
        <v>0</v>
      </c>
      <c r="AL172" s="532"/>
    </row>
    <row r="173" spans="1:38" ht="15" customHeight="1">
      <c r="A173" s="450" t="str">
        <f ca="1">[10]résultats!AY90</f>
        <v/>
      </c>
      <c r="B173" s="450" t="str">
        <f ca="1">[10]résultats!BA90</f>
        <v/>
      </c>
      <c r="C173" s="450" t="str">
        <f ca="1">[10]résultats!BB90</f>
        <v/>
      </c>
      <c r="D173" s="451" t="str">
        <f t="shared" ca="1" si="8"/>
        <v/>
      </c>
      <c r="E173" s="458" t="str">
        <f ca="1">[10]équipes!P4&amp;" en fin de phase contre "</f>
        <v xml:space="preserve">39 ans et 556 pts de moy. en fin de phase contre </v>
      </c>
      <c r="F173" s="354"/>
      <c r="G173" s="459"/>
      <c r="H173" s="459"/>
      <c r="I173" s="459"/>
      <c r="J173" s="459"/>
      <c r="K173" s="459"/>
      <c r="L173" s="459"/>
      <c r="M173" s="351"/>
      <c r="AL173" s="532"/>
    </row>
    <row r="174" spans="1:38" ht="15" customHeight="1">
      <c r="A174" s="466" t="s">
        <v>435</v>
      </c>
      <c r="B174" s="467">
        <f ca="1">IF(A165="",0,IF([10]résultats!$BD$1&lt;=7,VLOOKUP(N24,F165:M172,7,FALSE)-SUM(B165:B172),VLOOKUP(N24,'[10]clt (2)'!AW3:BD10,7,FALSE)-SUM(B165:B173)))</f>
        <v>5</v>
      </c>
      <c r="C174" s="467">
        <f ca="1">IF([10]résultats!$BD$1&lt;=7,VLOOKUP(N24,F165:H172,3,FALSE)*2,VLOOKUP(N24,'[10]clt (2)'!AW3:BD10,3,FALSE)*2)</f>
        <v>12</v>
      </c>
      <c r="D174" s="468">
        <f t="shared" ca="1" si="8"/>
        <v>0.41666666666666669</v>
      </c>
      <c r="E174" s="462" t="str">
        <f ca="1">ROUND(SUM('[10]résultats commentaires'!$X$195:$X$198)/COUNT('[10]résultats commentaires'!$X$195:$X$198),0)&amp; " points de moyenne en début de phase."</f>
        <v>569 points de moyenne en début de phase.</v>
      </c>
      <c r="F174" s="522"/>
      <c r="G174" s="463"/>
      <c r="H174" s="463"/>
      <c r="I174" s="463"/>
      <c r="J174" s="464" t="s">
        <v>449</v>
      </c>
      <c r="K174" s="463"/>
      <c r="L174" s="463"/>
      <c r="M174" s="465"/>
      <c r="AL174" s="532"/>
    </row>
    <row r="175" spans="1:38" ht="15" customHeight="1">
      <c r="A175" s="527" t="s">
        <v>156</v>
      </c>
      <c r="B175" s="528">
        <f ca="1">SUM(B165:B174)</f>
        <v>27</v>
      </c>
      <c r="C175" s="528">
        <f ca="1">SUM(C165:C174)</f>
        <v>81</v>
      </c>
      <c r="D175" s="529">
        <f t="shared" ca="1" si="8"/>
        <v>0.33333333333333331</v>
      </c>
      <c r="E175" s="469" t="str">
        <f>IF($F$12="",'[10]résultats des équipes (2)'!G90,'[10]résultats des équipes (2)'!G97)</f>
        <v>Déf 10 - 4</v>
      </c>
      <c r="F175" s="470" t="str">
        <f>IF($F$12="",'[10]résultats des équipes (2)'!I90,'[10]résultats des équipes (2)'!I97)</f>
        <v>GOLFETT PLOEREN 4</v>
      </c>
      <c r="G175" s="510"/>
      <c r="H175" s="510"/>
      <c r="I175" s="510"/>
      <c r="J175" s="510"/>
      <c r="K175" s="510"/>
      <c r="L175" s="510"/>
      <c r="M175" s="473"/>
      <c r="AL175" s="532"/>
    </row>
    <row r="176" spans="1:38" ht="15" customHeight="1">
      <c r="A176" s="1189" t="s">
        <v>450</v>
      </c>
      <c r="B176" s="1190"/>
      <c r="C176" s="1190"/>
      <c r="D176" s="1190"/>
      <c r="E176" s="474" t="str">
        <f>IF($F$12="",'[10]résultats des équipes (2)'!G91,'[10]résultats des équipes (2)'!G98)</f>
        <v>Déf 14 - 0</v>
      </c>
      <c r="F176" s="475" t="str">
        <f>IF($F$12="",'[10]résultats des équipes (2)'!I91,'[10]résultats des équipes (2)'!I98)</f>
        <v>TT PAYS LOCMINE 4</v>
      </c>
      <c r="G176" s="510"/>
      <c r="H176" s="510"/>
      <c r="I176" s="510"/>
      <c r="J176" s="510"/>
      <c r="K176" s="510"/>
      <c r="L176" s="510"/>
      <c r="M176" s="473"/>
      <c r="AL176" s="532"/>
    </row>
    <row r="177" spans="1:38" ht="15" customHeight="1">
      <c r="A177" s="1191"/>
      <c r="B177" s="1192"/>
      <c r="C177" s="1192"/>
      <c r="D177" s="1192"/>
      <c r="E177" s="474" t="str">
        <f>IF($F$12="",'[10]résultats des équipes (2)'!G92,'[10]résultats des équipes (2)'!G99)</f>
        <v>Déf 10 - 4</v>
      </c>
      <c r="F177" s="475" t="str">
        <f>IF($F$12="",'[10]résultats des équipes (2)'!I92,'[10]résultats des équipes (2)'!I99)</f>
        <v>CTT MENIMUR 7</v>
      </c>
      <c r="G177" s="510"/>
      <c r="H177" s="510"/>
      <c r="I177" s="510"/>
      <c r="J177" s="510"/>
      <c r="K177" s="510"/>
      <c r="L177" s="510"/>
      <c r="M177" s="473"/>
      <c r="AL177" s="532"/>
    </row>
    <row r="178" spans="1:38" ht="15" customHeight="1">
      <c r="A178" s="1191"/>
      <c r="B178" s="1192"/>
      <c r="C178" s="1192"/>
      <c r="D178" s="1192"/>
      <c r="E178" s="474" t="str">
        <f>IF($F$12="",'[10]résultats des équipes (2)'!G93,'[10]résultats des équipes (2)'!G100)</f>
        <v>Vict 8 - 6</v>
      </c>
      <c r="F178" s="475" t="str">
        <f>IF($F$12="",'[10]résultats des équipes (2)'!I93,'[10]résultats des équipes (2)'!I100)</f>
        <v>ES PLESCOP TT 7</v>
      </c>
      <c r="G178" s="510"/>
      <c r="H178" s="510"/>
      <c r="I178" s="510"/>
      <c r="J178" s="510"/>
      <c r="K178" s="510"/>
      <c r="L178" s="510"/>
      <c r="M178" s="473"/>
      <c r="AL178" s="532"/>
    </row>
    <row r="179" spans="1:38" ht="15" customHeight="1">
      <c r="A179" s="1191"/>
      <c r="B179" s="1192"/>
      <c r="C179" s="1192"/>
      <c r="D179" s="1192"/>
      <c r="E179" s="474" t="str">
        <f>IF($F$12="",'[10]résultats des équipes (2)'!G94,'[10]résultats des équipes (2)'!G101)</f>
        <v/>
      </c>
      <c r="F179" s="475" t="str">
        <f>IF($F$12="",'[10]résultats des équipes (2)'!I94,'[10]résultats des équipes (2)'!I101)</f>
        <v>Exempt</v>
      </c>
      <c r="G179" s="510"/>
      <c r="H179" s="510"/>
      <c r="I179" s="510"/>
      <c r="J179" s="510"/>
      <c r="K179" s="510"/>
      <c r="L179" s="510"/>
      <c r="M179" s="473"/>
      <c r="AL179" s="532"/>
    </row>
    <row r="180" spans="1:38" ht="15" customHeight="1">
      <c r="A180" s="1191"/>
      <c r="B180" s="1192"/>
      <c r="C180" s="1192"/>
      <c r="D180" s="1192"/>
      <c r="E180" s="484" t="str">
        <f>IF($F$12="",'[10]résultats des équipes (2)'!G95,'[10]résultats des équipes (2)'!G102)</f>
        <v>Nul 7 - 7</v>
      </c>
      <c r="F180" s="485" t="str">
        <f>IF($F$12="",'[10]résultats des équipes (2)'!I95,'[10]résultats des équipes (2)'!I102)</f>
        <v>AS ST PHILIBERT 3</v>
      </c>
      <c r="G180" s="510"/>
      <c r="H180" s="493"/>
      <c r="I180" s="493"/>
      <c r="J180" s="493"/>
      <c r="K180" s="493"/>
      <c r="L180" s="493"/>
      <c r="M180" s="494"/>
      <c r="AL180" s="532"/>
    </row>
    <row r="181" spans="1:38" ht="15" customHeight="1">
      <c r="A181" s="1193"/>
      <c r="B181" s="1194"/>
      <c r="C181" s="1194"/>
      <c r="D181" s="1194"/>
      <c r="E181" s="498" t="str">
        <f>IF($F$12="",'[10]résultats des équipes (2)'!G96,'[10]résultats des équipes (2)'!G103)</f>
        <v>Déf 10 - 4</v>
      </c>
      <c r="F181" s="499" t="str">
        <f>IF($F$12="",'[10]résultats des équipes (2)'!I96,'[10]résultats des équipes (2)'!I103)</f>
        <v>PLUNERET/MERIAD 4</v>
      </c>
      <c r="G181" s="513"/>
      <c r="H181" s="514"/>
      <c r="I181" s="514"/>
      <c r="J181" s="514"/>
      <c r="K181" s="514"/>
      <c r="L181" s="514"/>
      <c r="M181" s="494"/>
      <c r="AL181" s="532"/>
    </row>
    <row r="182" spans="1:38" s="537" customFormat="1" ht="30" customHeight="1">
      <c r="A182" s="534"/>
      <c r="B182" s="535"/>
      <c r="C182" s="535"/>
      <c r="D182" s="535"/>
      <c r="E182" s="535"/>
      <c r="F182" s="535"/>
      <c r="G182" s="535"/>
      <c r="H182" s="535"/>
      <c r="I182" s="535"/>
      <c r="J182" s="535"/>
      <c r="K182" s="535"/>
      <c r="L182" s="535"/>
      <c r="M182" s="536"/>
      <c r="Z182" s="538"/>
      <c r="AA182" s="538"/>
      <c r="AB182" s="538"/>
      <c r="AC182" s="538"/>
      <c r="AD182" s="538"/>
      <c r="AE182" s="538"/>
      <c r="AF182" s="538"/>
      <c r="AG182" s="538"/>
      <c r="AH182" s="538"/>
      <c r="AI182" s="538"/>
      <c r="AJ182" s="538"/>
      <c r="AK182" s="538"/>
      <c r="AL182" s="539"/>
    </row>
    <row r="183" spans="1:38" ht="60" customHeight="1">
      <c r="A183" s="540"/>
      <c r="B183" s="541" t="s">
        <v>451</v>
      </c>
      <c r="C183" s="541" t="s">
        <v>452</v>
      </c>
      <c r="D183" s="541" t="s">
        <v>453</v>
      </c>
      <c r="E183" s="541" t="s">
        <v>454</v>
      </c>
      <c r="F183" s="541"/>
      <c r="G183" s="541" t="s">
        <v>455</v>
      </c>
      <c r="H183" s="541" t="s">
        <v>456</v>
      </c>
      <c r="I183" s="541" t="s">
        <v>457</v>
      </c>
      <c r="J183" s="541" t="s">
        <v>458</v>
      </c>
      <c r="K183" s="541" t="s">
        <v>459</v>
      </c>
      <c r="L183" s="541" t="s">
        <v>460</v>
      </c>
      <c r="M183" s="542"/>
      <c r="AL183" s="532"/>
    </row>
    <row r="184" spans="1:38">
      <c r="A184" s="543" t="str">
        <f>[10]résultats!A4</f>
        <v>Brient Jean-François</v>
      </c>
      <c r="B184" s="544">
        <f>[10]résultats!AF4</f>
        <v>18</v>
      </c>
      <c r="C184" s="544">
        <f>[10]résultats!AG4</f>
        <v>18</v>
      </c>
      <c r="D184" s="545">
        <f>[10]résultats!AI4</f>
        <v>18</v>
      </c>
      <c r="E184" s="546">
        <f>[10]résultats!AJ4</f>
        <v>18</v>
      </c>
      <c r="F184" s="1201" t="s">
        <v>461</v>
      </c>
      <c r="G184" s="547">
        <f ca="1">[10]résultats!AH4</f>
        <v>1.0000042725449085</v>
      </c>
      <c r="H184" s="548">
        <f ca="1">[10]résultats!AK4</f>
        <v>1.0000001421551024</v>
      </c>
      <c r="I184" s="549">
        <f>[10]résultats!AL4</f>
        <v>36</v>
      </c>
      <c r="J184" s="549">
        <f>[10]résultats!AM4</f>
        <v>36</v>
      </c>
      <c r="K184" s="550">
        <f ca="1">[10]résultats!AN4</f>
        <v>1.0000050817197765</v>
      </c>
      <c r="L184" s="551">
        <f>[10]résultats!AE4</f>
        <v>12</v>
      </c>
      <c r="M184" s="1203" t="s">
        <v>462</v>
      </c>
      <c r="N184" s="338">
        <f ca="1">L184+RAND()*0.01</f>
        <v>12.002772468213051</v>
      </c>
      <c r="O184" s="338" t="str">
        <f>A184</f>
        <v>Brient Jean-François</v>
      </c>
      <c r="P184" s="338">
        <f>COUNTIF(L184:L225,MAX(L184:L225))</f>
        <v>4</v>
      </c>
      <c r="AL184" s="532"/>
    </row>
    <row r="185" spans="1:38">
      <c r="A185" s="543" t="str">
        <f>[10]résultats!A30</f>
        <v>Zaragoza José</v>
      </c>
      <c r="B185" s="544">
        <f>[10]résultats!AF30</f>
        <v>18</v>
      </c>
      <c r="C185" s="544">
        <f>[10]résultats!AG30</f>
        <v>18</v>
      </c>
      <c r="D185" s="545">
        <f>[10]résultats!AI30</f>
        <v>15</v>
      </c>
      <c r="E185" s="546">
        <f>[10]résultats!AJ30</f>
        <v>18</v>
      </c>
      <c r="F185" s="1202"/>
      <c r="G185" s="547">
        <f ca="1">[10]résultats!AH30</f>
        <v>1.0000069799952187</v>
      </c>
      <c r="H185" s="548">
        <f ca="1">[10]résultats!AK30</f>
        <v>0.83334022243613159</v>
      </c>
      <c r="I185" s="549">
        <f>[10]résultats!AL30</f>
        <v>33</v>
      </c>
      <c r="J185" s="549">
        <f>[10]résultats!AM30</f>
        <v>36</v>
      </c>
      <c r="K185" s="550">
        <f ca="1">[10]résultats!AN30</f>
        <v>0.91667425084735354</v>
      </c>
      <c r="L185" s="551">
        <f>[10]résultats!AE30</f>
        <v>12</v>
      </c>
      <c r="M185" s="1204"/>
      <c r="N185" s="338">
        <f t="shared" ref="N185:N225" ca="1" si="9">L185+RAND()*0.01</f>
        <v>12.007176552874437</v>
      </c>
      <c r="O185" s="338" t="str">
        <f t="shared" ref="O185:O225" si="10">A185</f>
        <v>Zaragoza José</v>
      </c>
      <c r="P185" s="338" t="str">
        <f ca="1">IF(P$184-1=0,"",VLOOKUP(LARGE(N$184:N$234,P$184),$N$184:$O$234,2,FALSE))</f>
        <v>Morin Léa</v>
      </c>
      <c r="Q185" s="338" t="str">
        <f ca="1">IF(P185="","",IF(LEFT(P185,3)="Le ",RIGHT(P185,LEN(P185)-SEARCH(" ",P185,4))&amp;" L.",RIGHT(P185,LEN(P185)-SEARCH(" ",P185,1))&amp;" "&amp;LEFT(LEFT(P185,1),SEARCH(" ",P185,1))&amp;"."))</f>
        <v>Léa M.</v>
      </c>
      <c r="AL185" s="532"/>
    </row>
    <row r="186" spans="1:38">
      <c r="A186" s="543" t="str">
        <f>[10]résultats!A5</f>
        <v>Flégeau Matthieu</v>
      </c>
      <c r="B186" s="544">
        <f>[10]résultats!AF5</f>
        <v>13</v>
      </c>
      <c r="C186" s="544">
        <f>[10]résultats!AG5</f>
        <v>15</v>
      </c>
      <c r="D186" s="545">
        <f>[10]résultats!AI5</f>
        <v>10</v>
      </c>
      <c r="E186" s="546">
        <f>[10]résultats!AJ5</f>
        <v>12</v>
      </c>
      <c r="F186" s="1202"/>
      <c r="G186" s="547">
        <f ca="1">[10]résultats!AH5</f>
        <v>0.86666705134525357</v>
      </c>
      <c r="H186" s="548">
        <f ca="1">[10]résultats!AK5</f>
        <v>0.83333855453672911</v>
      </c>
      <c r="I186" s="549">
        <f>[10]résultats!AL5</f>
        <v>23</v>
      </c>
      <c r="J186" s="549">
        <f>[10]résultats!AM5</f>
        <v>27</v>
      </c>
      <c r="K186" s="550">
        <f ca="1">[10]résultats!AN5</f>
        <v>0.85185795645735718</v>
      </c>
      <c r="L186" s="551">
        <f>[10]résultats!AE5</f>
        <v>9</v>
      </c>
      <c r="M186" s="1204"/>
      <c r="N186" s="338">
        <f t="shared" ca="1" si="9"/>
        <v>9.0095944546163675</v>
      </c>
      <c r="O186" s="338" t="str">
        <f t="shared" si="10"/>
        <v>Flégeau Matthieu</v>
      </c>
      <c r="P186" s="338" t="str">
        <f ca="1">IF(OR(P185="",P$184-1=0),"",VLOOKUP(LARGE(N$184:N$234,P$184-1),$N$184:$O$234,2,FALSE))</f>
        <v>Morin Emmanuel</v>
      </c>
      <c r="Q186" s="338" t="str">
        <f t="shared" ref="Q186:Q194" ca="1" si="11">IF(P186="","",IF(LEFT(P186,3)="Le ",RIGHT(P186,LEN(P186)-SEARCH(" ",P186,4))&amp;" L.",RIGHT(P186,LEN(P186)-SEARCH(" ",P186,1))&amp;" "&amp;LEFT(LEFT(P186,1),SEARCH(" ",P186,1))&amp;"."))</f>
        <v>Emmanuel M.</v>
      </c>
      <c r="AL186" s="532"/>
    </row>
    <row r="187" spans="1:38">
      <c r="A187" s="552" t="str">
        <f>[10]résultats!A9</f>
        <v>Roszak Clément</v>
      </c>
      <c r="B187" s="544">
        <f>[10]résultats!AF9</f>
        <v>11</v>
      </c>
      <c r="C187" s="544">
        <f>[10]résultats!AG9</f>
        <v>15</v>
      </c>
      <c r="D187" s="545">
        <f>[10]résultats!AI9</f>
        <v>17</v>
      </c>
      <c r="E187" s="546">
        <f>[10]résultats!AJ9</f>
        <v>18</v>
      </c>
      <c r="F187" s="1202"/>
      <c r="G187" s="547">
        <f ca="1">[10]résultats!AH9</f>
        <v>0.73333652511138525</v>
      </c>
      <c r="H187" s="548">
        <f ca="1">[10]résultats!AK9</f>
        <v>0.94445173013348094</v>
      </c>
      <c r="I187" s="549">
        <f>[10]résultats!AL9</f>
        <v>28</v>
      </c>
      <c r="J187" s="549">
        <f>[10]résultats!AM9</f>
        <v>33</v>
      </c>
      <c r="K187" s="550">
        <f ca="1">[10]résultats!AN9</f>
        <v>0.8484914263848724</v>
      </c>
      <c r="L187" s="551">
        <f>[10]résultats!AE9</f>
        <v>11</v>
      </c>
      <c r="M187" s="1204"/>
      <c r="N187" s="338">
        <f t="shared" ca="1" si="9"/>
        <v>11.009983405187715</v>
      </c>
      <c r="O187" s="338" t="str">
        <f t="shared" si="10"/>
        <v>Roszak Clément</v>
      </c>
      <c r="P187" s="338" t="str">
        <f ca="1">IF(OR(P186="",P$184-2=0),"",VLOOKUP(LARGE(N$184:N$234,P$184-2),$N$184:$O$234,2,FALSE))</f>
        <v>Nicolas Jérémy</v>
      </c>
      <c r="Q187" s="338" t="str">
        <f t="shared" ca="1" si="11"/>
        <v>Jérémy N.</v>
      </c>
      <c r="AL187" s="532"/>
    </row>
    <row r="188" spans="1:38">
      <c r="A188" s="552" t="str">
        <f>[10]résultats!A11</f>
        <v>Hilton Franck</v>
      </c>
      <c r="B188" s="544">
        <f>[10]résultats!AF11</f>
        <v>19</v>
      </c>
      <c r="C188" s="544">
        <f>[10]résultats!AG11</f>
        <v>21</v>
      </c>
      <c r="D188" s="545">
        <f>[10]résultats!AI11</f>
        <v>14</v>
      </c>
      <c r="E188" s="546">
        <f>[10]résultats!AJ11</f>
        <v>18</v>
      </c>
      <c r="F188" s="1202"/>
      <c r="G188" s="547">
        <f ca="1">[10]résultats!AH11</f>
        <v>0.90477115985218792</v>
      </c>
      <c r="H188" s="548">
        <f ca="1">[10]résultats!AK11</f>
        <v>0.77778182553367647</v>
      </c>
      <c r="I188" s="549">
        <f>[10]résultats!AL11</f>
        <v>33</v>
      </c>
      <c r="J188" s="549">
        <f>[10]résultats!AM11</f>
        <v>39</v>
      </c>
      <c r="K188" s="550">
        <f ca="1">[10]résultats!AN11</f>
        <v>0.84615789255864093</v>
      </c>
      <c r="L188" s="551">
        <f>[10]résultats!AE11</f>
        <v>13</v>
      </c>
      <c r="M188" s="1204"/>
      <c r="N188" s="338">
        <f t="shared" ca="1" si="9"/>
        <v>13.006693341014723</v>
      </c>
      <c r="O188" s="338" t="str">
        <f t="shared" si="10"/>
        <v>Hilton Franck</v>
      </c>
      <c r="P188" s="338" t="str">
        <f ca="1">IF(OR(P187="",P$184-3=0),"",VLOOKUP(LARGE(N$184:N$234,P$184-3),$N$184:$O$234,2,FALSE))</f>
        <v>Baudais Luc</v>
      </c>
      <c r="Q188" s="338" t="str">
        <f t="shared" ca="1" si="11"/>
        <v>Luc B.</v>
      </c>
      <c r="AL188" s="532"/>
    </row>
    <row r="189" spans="1:38">
      <c r="A189" s="552" t="str">
        <f>[10]résultats!A7</f>
        <v>Nicolas Jérémy</v>
      </c>
      <c r="B189" s="544">
        <f>[10]résultats!AF7</f>
        <v>21</v>
      </c>
      <c r="C189" s="544">
        <f>[10]résultats!AG7</f>
        <v>21</v>
      </c>
      <c r="D189" s="545">
        <f>[10]résultats!AI7</f>
        <v>14</v>
      </c>
      <c r="E189" s="546">
        <f>[10]résultats!AJ7</f>
        <v>21</v>
      </c>
      <c r="F189" s="1202"/>
      <c r="G189" s="547">
        <f ca="1">[10]résultats!AH7</f>
        <v>1.0000022924731633</v>
      </c>
      <c r="H189" s="548">
        <f ca="1">[10]résultats!AK7</f>
        <v>0.66667218831377451</v>
      </c>
      <c r="I189" s="549">
        <f>[10]résultats!AL7</f>
        <v>35</v>
      </c>
      <c r="J189" s="549">
        <f>[10]résultats!AM7</f>
        <v>42</v>
      </c>
      <c r="K189" s="550">
        <f ca="1">[10]résultats!AN7</f>
        <v>0.8333358536055181</v>
      </c>
      <c r="L189" s="551">
        <f>[10]résultats!AE7</f>
        <v>14</v>
      </c>
      <c r="M189" s="1204"/>
      <c r="N189" s="338">
        <f t="shared" ca="1" si="9"/>
        <v>14.008019874548021</v>
      </c>
      <c r="O189" s="338" t="str">
        <f t="shared" si="10"/>
        <v>Nicolas Jérémy</v>
      </c>
      <c r="P189" s="338" t="str">
        <f ca="1">IF(OR(P188="",P$184-4=0),"",VLOOKUP(LARGE(N$184:N$234,P$184-4),$N$184:$O$234,2,FALSE))</f>
        <v/>
      </c>
      <c r="Q189" s="338" t="str">
        <f t="shared" ca="1" si="11"/>
        <v/>
      </c>
      <c r="AL189" s="532"/>
    </row>
    <row r="190" spans="1:38">
      <c r="A190" s="552" t="str">
        <f>[10]résultats!A22</f>
        <v>Touche Rémy</v>
      </c>
      <c r="B190" s="544">
        <f>[10]résultats!AF22</f>
        <v>16</v>
      </c>
      <c r="C190" s="544">
        <f>[10]résultats!AG22</f>
        <v>18</v>
      </c>
      <c r="D190" s="545">
        <f>[10]résultats!AI22</f>
        <v>14</v>
      </c>
      <c r="E190" s="546">
        <f>[10]résultats!AJ22</f>
        <v>18</v>
      </c>
      <c r="F190" s="1202"/>
      <c r="G190" s="547">
        <f ca="1">[10]résultats!AH22</f>
        <v>0.88888892362877781</v>
      </c>
      <c r="H190" s="548">
        <f ca="1">[10]résultats!AK22</f>
        <v>0.77777820161640621</v>
      </c>
      <c r="I190" s="549">
        <f>[10]résultats!AL22</f>
        <v>30</v>
      </c>
      <c r="J190" s="549">
        <f>[10]résultats!AM22</f>
        <v>36</v>
      </c>
      <c r="K190" s="550">
        <f ca="1">[10]résultats!AN22</f>
        <v>0.83333789547160475</v>
      </c>
      <c r="L190" s="551">
        <f>[10]résultats!AE22</f>
        <v>12</v>
      </c>
      <c r="M190" s="1204"/>
      <c r="N190" s="338">
        <f t="shared" ca="1" si="9"/>
        <v>12.009566915940189</v>
      </c>
      <c r="O190" s="338" t="str">
        <f t="shared" si="10"/>
        <v>Touche Rémy</v>
      </c>
      <c r="P190" s="338" t="str">
        <f ca="1">IF(OR(P189="",P$184-5=0),"",VLOOKUP(LARGE(N$184:N$234,P$184-5),$N$184:$O$234,2,FALSE))</f>
        <v/>
      </c>
      <c r="Q190" s="338" t="str">
        <f t="shared" ca="1" si="11"/>
        <v/>
      </c>
      <c r="AL190" s="532"/>
    </row>
    <row r="191" spans="1:38">
      <c r="A191" s="552" t="str">
        <f>[10]résultats!A24</f>
        <v>Dayot Franck</v>
      </c>
      <c r="B191" s="544">
        <f>[10]résultats!AF24</f>
        <v>14</v>
      </c>
      <c r="C191" s="544">
        <f>[10]résultats!AG24</f>
        <v>18</v>
      </c>
      <c r="D191" s="545">
        <f>[10]résultats!AI24</f>
        <v>16</v>
      </c>
      <c r="E191" s="546">
        <f>[10]résultats!AJ24</f>
        <v>21</v>
      </c>
      <c r="F191" s="1202"/>
      <c r="G191" s="547">
        <f ca="1">[10]résultats!AH24</f>
        <v>0.77778422758170029</v>
      </c>
      <c r="H191" s="548">
        <f ca="1">[10]résultats!AK24</f>
        <v>0.76191124655877251</v>
      </c>
      <c r="I191" s="549">
        <f>[10]résultats!AL24</f>
        <v>30</v>
      </c>
      <c r="J191" s="549">
        <f>[10]résultats!AM24</f>
        <v>39</v>
      </c>
      <c r="K191" s="550">
        <f ca="1">[10]résultats!AN24</f>
        <v>0.76923583407628049</v>
      </c>
      <c r="L191" s="551">
        <f>[10]résultats!AE24</f>
        <v>13</v>
      </c>
      <c r="M191" s="1204"/>
      <c r="N191" s="338">
        <f t="shared" ca="1" si="9"/>
        <v>13.009147140572441</v>
      </c>
      <c r="O191" s="338" t="str">
        <f t="shared" si="10"/>
        <v>Dayot Franck</v>
      </c>
      <c r="P191" s="338" t="str">
        <f ca="1">IF(OR(P190="",P$184-6=0),"",VLOOKUP(LARGE(N$184:N$234,P$184-6),$N$184:$O$234,2,FALSE))</f>
        <v/>
      </c>
      <c r="Q191" s="338" t="str">
        <f t="shared" ca="1" si="11"/>
        <v/>
      </c>
      <c r="AL191" s="532"/>
    </row>
    <row r="192" spans="1:38">
      <c r="A192" s="552" t="str">
        <f>[10]résultats!A2</f>
        <v>Couture Nicolas</v>
      </c>
      <c r="B192" s="544">
        <f>[10]résultats!AF2</f>
        <v>17</v>
      </c>
      <c r="C192" s="544">
        <f>[10]résultats!AG2</f>
        <v>21</v>
      </c>
      <c r="D192" s="545">
        <f>[10]résultats!AI2</f>
        <v>10</v>
      </c>
      <c r="E192" s="546">
        <f>[10]résultats!AJ2</f>
        <v>15</v>
      </c>
      <c r="F192" s="1202"/>
      <c r="G192" s="547">
        <f ca="1">[10]résultats!AH2</f>
        <v>0.80953091483784168</v>
      </c>
      <c r="H192" s="548">
        <f ca="1">[10]résultats!AK2</f>
        <v>0.66667112468252221</v>
      </c>
      <c r="I192" s="549">
        <f>[10]résultats!AL2</f>
        <v>27</v>
      </c>
      <c r="J192" s="549">
        <f>[10]résultats!AM2</f>
        <v>36</v>
      </c>
      <c r="K192" s="550">
        <f ca="1">[10]résultats!AN2</f>
        <v>0.75000182840072005</v>
      </c>
      <c r="L192" s="551">
        <f>[10]résultats!AE2</f>
        <v>12</v>
      </c>
      <c r="M192" s="1204"/>
      <c r="N192" s="338">
        <f t="shared" ca="1" si="9"/>
        <v>12.000615510912453</v>
      </c>
      <c r="O192" s="338" t="str">
        <f t="shared" si="10"/>
        <v>Couture Nicolas</v>
      </c>
      <c r="P192" s="338" t="str">
        <f ca="1">IF(OR(P191="",P$184-7=0),"",VLOOKUP(LARGE(N$184:N$234,P$184-7),$N$184:$O$234,2,FALSE))</f>
        <v/>
      </c>
      <c r="Q192" s="338" t="str">
        <f t="shared" ca="1" si="11"/>
        <v/>
      </c>
      <c r="AL192" s="532"/>
    </row>
    <row r="193" spans="1:38">
      <c r="A193" s="552" t="str">
        <f>[10]résultats!A3</f>
        <v>Beyl Yann</v>
      </c>
      <c r="B193" s="544">
        <f>[10]résultats!AF3</f>
        <v>14</v>
      </c>
      <c r="C193" s="544">
        <f>[10]résultats!AG3</f>
        <v>18</v>
      </c>
      <c r="D193" s="545">
        <f>[10]résultats!AI3</f>
        <v>8</v>
      </c>
      <c r="E193" s="546">
        <f>[10]résultats!AJ3</f>
        <v>12</v>
      </c>
      <c r="F193" s="1202"/>
      <c r="G193" s="547">
        <f ca="1">[10]résultats!AH3</f>
        <v>0.77778435129699974</v>
      </c>
      <c r="H193" s="548">
        <f ca="1">[10]résultats!AK3</f>
        <v>0.66666705674552351</v>
      </c>
      <c r="I193" s="549">
        <f>[10]résultats!AL3</f>
        <v>22</v>
      </c>
      <c r="J193" s="549">
        <f>[10]résultats!AM3</f>
        <v>30</v>
      </c>
      <c r="K193" s="550">
        <f ca="1">[10]résultats!AN3</f>
        <v>0.73334110513776274</v>
      </c>
      <c r="L193" s="551">
        <f>[10]résultats!AE3</f>
        <v>10</v>
      </c>
      <c r="M193" s="1204"/>
      <c r="N193" s="338">
        <f t="shared" ca="1" si="9"/>
        <v>10.00045632860575</v>
      </c>
      <c r="O193" s="338" t="str">
        <f t="shared" si="10"/>
        <v>Beyl Yann</v>
      </c>
      <c r="P193" s="338" t="str">
        <f ca="1">IF(OR(P192="",P$184-8=0),"",VLOOKUP(LARGE(N$184:N$234,P$184-8),$N$184:$O$234,2,FALSE))</f>
        <v/>
      </c>
      <c r="Q193" s="338" t="str">
        <f t="shared" ca="1" si="11"/>
        <v/>
      </c>
      <c r="AL193" s="532"/>
    </row>
    <row r="194" spans="1:38">
      <c r="A194" s="552" t="str">
        <f>[10]résultats!A35</f>
        <v>Guehennec Benoit</v>
      </c>
      <c r="B194" s="544">
        <f>[10]résultats!AF35</f>
        <v>15</v>
      </c>
      <c r="C194" s="544">
        <f>[10]résultats!AG35</f>
        <v>18</v>
      </c>
      <c r="D194" s="545">
        <f>[10]résultats!AI35</f>
        <v>9</v>
      </c>
      <c r="E194" s="546">
        <f>[10]résultats!AJ35</f>
        <v>15</v>
      </c>
      <c r="F194" s="1202"/>
      <c r="G194" s="547">
        <f ca="1">[10]résultats!AH35</f>
        <v>0.8333423888433813</v>
      </c>
      <c r="H194" s="548">
        <f ca="1">[10]résultats!AK35</f>
        <v>0.60000969432174955</v>
      </c>
      <c r="I194" s="549">
        <f>[10]résultats!AL35</f>
        <v>24</v>
      </c>
      <c r="J194" s="549">
        <f>[10]résultats!AM35</f>
        <v>33</v>
      </c>
      <c r="K194" s="550">
        <f ca="1">[10]résultats!AN35</f>
        <v>0.7272739773101623</v>
      </c>
      <c r="L194" s="551">
        <f>[10]résultats!AE35</f>
        <v>11</v>
      </c>
      <c r="M194" s="1204"/>
      <c r="N194" s="338">
        <f t="shared" ca="1" si="9"/>
        <v>11.007577992542002</v>
      </c>
      <c r="O194" s="338" t="str">
        <f t="shared" si="10"/>
        <v>Guehennec Benoit</v>
      </c>
      <c r="P194" s="338" t="str">
        <f ca="1">IF(OR(P193="",P$184-9=0),"",VLOOKUP(LARGE(N$184:N$234,P$184-9),$N$184:$O$234,2,FALSE))</f>
        <v/>
      </c>
      <c r="Q194" s="338" t="str">
        <f t="shared" ca="1" si="11"/>
        <v/>
      </c>
      <c r="AL194" s="532"/>
    </row>
    <row r="195" spans="1:38">
      <c r="A195" s="552" t="str">
        <f>[10]résultats!A31</f>
        <v>Sail Rémy</v>
      </c>
      <c r="B195" s="544">
        <f>[10]résultats!AF31</f>
        <v>14</v>
      </c>
      <c r="C195" s="544">
        <f>[10]résultats!AG31</f>
        <v>18</v>
      </c>
      <c r="D195" s="545">
        <f>[10]résultats!AI31</f>
        <v>3</v>
      </c>
      <c r="E195" s="546">
        <f>[10]résultats!AJ31</f>
        <v>6</v>
      </c>
      <c r="F195" s="1202"/>
      <c r="G195" s="547">
        <f ca="1">[10]résultats!AH31</f>
        <v>0.77778724842687497</v>
      </c>
      <c r="H195" s="548">
        <f ca="1">[10]résultats!AK31</f>
        <v>0.50000376431968618</v>
      </c>
      <c r="I195" s="549">
        <f>[10]résultats!AL31</f>
        <v>17</v>
      </c>
      <c r="J195" s="549">
        <f>[10]résultats!AM31</f>
        <v>24</v>
      </c>
      <c r="K195" s="550">
        <f ca="1">[10]résultats!AN31</f>
        <v>0.70833954936243426</v>
      </c>
      <c r="L195" s="551">
        <f>[10]résultats!AE31</f>
        <v>8</v>
      </c>
      <c r="M195" s="1204"/>
      <c r="N195" s="338">
        <f t="shared" ca="1" si="9"/>
        <v>8.0089776788103002</v>
      </c>
      <c r="O195" s="338" t="str">
        <f t="shared" si="10"/>
        <v>Sail Rémy</v>
      </c>
      <c r="P195" s="338" t="str">
        <f ca="1">IF(OR(P194="",P$184-10=0),"",VLOOKUP(LARGE(N$184:N$234,P$184-10),$N$184:$O$234,2,FALSE))</f>
        <v/>
      </c>
      <c r="AL195" s="532"/>
    </row>
    <row r="196" spans="1:38">
      <c r="A196" s="552" t="str">
        <f>[10]résultats!A8</f>
        <v>Roszak Martin</v>
      </c>
      <c r="B196" s="544">
        <f>[10]résultats!AF8</f>
        <v>16</v>
      </c>
      <c r="C196" s="544">
        <f>[10]résultats!AG8</f>
        <v>18</v>
      </c>
      <c r="D196" s="545">
        <f>[10]résultats!AI8</f>
        <v>9</v>
      </c>
      <c r="E196" s="546">
        <f>[10]résultats!AJ8</f>
        <v>21</v>
      </c>
      <c r="F196" s="1202"/>
      <c r="G196" s="547">
        <f ca="1">[10]résultats!AH8</f>
        <v>0.88889435074027856</v>
      </c>
      <c r="H196" s="548">
        <f ca="1">[10]résultats!AK8</f>
        <v>0.42857415715658065</v>
      </c>
      <c r="I196" s="549">
        <f>[10]résultats!AL8</f>
        <v>25</v>
      </c>
      <c r="J196" s="549">
        <f>[10]résultats!AM8</f>
        <v>39</v>
      </c>
      <c r="K196" s="550">
        <f ca="1">[10]résultats!AN8</f>
        <v>0.64103339353664401</v>
      </c>
      <c r="L196" s="551">
        <f>[10]résultats!AE8</f>
        <v>13</v>
      </c>
      <c r="M196" s="1204"/>
      <c r="N196" s="338">
        <f t="shared" ca="1" si="9"/>
        <v>13.003426228334357</v>
      </c>
      <c r="O196" s="338" t="str">
        <f t="shared" si="10"/>
        <v>Roszak Martin</v>
      </c>
      <c r="AL196" s="532"/>
    </row>
    <row r="197" spans="1:38">
      <c r="A197" s="552" t="str">
        <f>[10]résultats!A19</f>
        <v>Vilain Benjamin</v>
      </c>
      <c r="B197" s="544">
        <f>[10]résultats!AF19</f>
        <v>8</v>
      </c>
      <c r="C197" s="544">
        <f>[10]résultats!AG19</f>
        <v>18</v>
      </c>
      <c r="D197" s="545">
        <f>[10]résultats!AI19</f>
        <v>14</v>
      </c>
      <c r="E197" s="546">
        <f>[10]résultats!AJ19</f>
        <v>18</v>
      </c>
      <c r="F197" s="1202"/>
      <c r="G197" s="547">
        <f ca="1">[10]résultats!AH19</f>
        <v>0.44445040495625665</v>
      </c>
      <c r="H197" s="548">
        <f ca="1">[10]résultats!AK19</f>
        <v>0.77777921340823875</v>
      </c>
      <c r="I197" s="549">
        <f>[10]résultats!AL19</f>
        <v>22</v>
      </c>
      <c r="J197" s="549">
        <f>[10]résultats!AM19</f>
        <v>36</v>
      </c>
      <c r="K197" s="550">
        <f ca="1">[10]résultats!AN19</f>
        <v>0.61111373548528236</v>
      </c>
      <c r="L197" s="551">
        <f>[10]résultats!AE19</f>
        <v>12</v>
      </c>
      <c r="M197" s="1204"/>
      <c r="N197" s="338">
        <f t="shared" ca="1" si="9"/>
        <v>12.007340659329749</v>
      </c>
      <c r="O197" s="338" t="str">
        <f t="shared" si="10"/>
        <v>Vilain Benjamin</v>
      </c>
      <c r="AL197" s="532"/>
    </row>
    <row r="198" spans="1:38">
      <c r="A198" s="552" t="str">
        <f>[10]résultats!A20</f>
        <v>Le Cam Alan</v>
      </c>
      <c r="B198" s="544">
        <f>[10]résultats!AF20</f>
        <v>11</v>
      </c>
      <c r="C198" s="544">
        <f>[10]résultats!AG20</f>
        <v>12</v>
      </c>
      <c r="D198" s="545">
        <f>[10]résultats!AI20</f>
        <v>7</v>
      </c>
      <c r="E198" s="546">
        <f>[10]résultats!AJ20</f>
        <v>18</v>
      </c>
      <c r="F198" s="1202"/>
      <c r="G198" s="547">
        <f ca="1">[10]résultats!AH20</f>
        <v>0.91666724291253088</v>
      </c>
      <c r="H198" s="548">
        <f ca="1">[10]résultats!AK20</f>
        <v>0.38889441666133734</v>
      </c>
      <c r="I198" s="549">
        <f>[10]résultats!AL20</f>
        <v>18</v>
      </c>
      <c r="J198" s="549">
        <f>[10]résultats!AM20</f>
        <v>30</v>
      </c>
      <c r="K198" s="550">
        <f ca="1">[10]résultats!AN20</f>
        <v>0.60000716510796348</v>
      </c>
      <c r="L198" s="551">
        <f>[10]résultats!AE20</f>
        <v>10</v>
      </c>
      <c r="M198" s="1204"/>
      <c r="N198" s="338">
        <f t="shared" ca="1" si="9"/>
        <v>10.003481894384347</v>
      </c>
      <c r="O198" s="338" t="str">
        <f t="shared" si="10"/>
        <v>Le Cam Alan</v>
      </c>
      <c r="AL198" s="532"/>
    </row>
    <row r="199" spans="1:38">
      <c r="A199" s="552" t="str">
        <f>[10]résultats!A10</f>
        <v>Le Garnec Sacha</v>
      </c>
      <c r="B199" s="544">
        <f>[10]résultats!AF10</f>
        <v>12</v>
      </c>
      <c r="C199" s="544">
        <f>[10]résultats!AG10</f>
        <v>21</v>
      </c>
      <c r="D199" s="545">
        <f>[10]résultats!AI10</f>
        <v>11</v>
      </c>
      <c r="E199" s="546">
        <f>[10]résultats!AJ10</f>
        <v>18</v>
      </c>
      <c r="F199" s="1202"/>
      <c r="G199" s="547">
        <f ca="1">[10]résultats!AH10</f>
        <v>0.57143132880455016</v>
      </c>
      <c r="H199" s="548">
        <f ca="1">[10]résultats!AK10</f>
        <v>0.6111161185318299</v>
      </c>
      <c r="I199" s="549">
        <f>[10]résultats!AL10</f>
        <v>23</v>
      </c>
      <c r="J199" s="549">
        <f>[10]résultats!AM10</f>
        <v>39</v>
      </c>
      <c r="K199" s="550">
        <f ca="1">[10]résultats!AN10</f>
        <v>0.58975118181701125</v>
      </c>
      <c r="L199" s="551">
        <f>[10]résultats!AE10</f>
        <v>13</v>
      </c>
      <c r="M199" s="1204"/>
      <c r="N199" s="338">
        <f t="shared" ca="1" si="9"/>
        <v>13.00936991087862</v>
      </c>
      <c r="O199" s="338" t="str">
        <f t="shared" si="10"/>
        <v>Le Garnec Sacha</v>
      </c>
      <c r="AL199" s="532"/>
    </row>
    <row r="200" spans="1:38">
      <c r="A200" s="552" t="str">
        <f>[10]résultats!A12</f>
        <v>Cojean Youen</v>
      </c>
      <c r="B200" s="544">
        <f>[10]résultats!AF12</f>
        <v>12</v>
      </c>
      <c r="C200" s="544">
        <f>[10]résultats!AG12</f>
        <v>21</v>
      </c>
      <c r="D200" s="545">
        <f>[10]résultats!AI12</f>
        <v>10</v>
      </c>
      <c r="E200" s="546">
        <f>[10]résultats!AJ12</f>
        <v>18</v>
      </c>
      <c r="F200" s="1202"/>
      <c r="G200" s="547">
        <f ca="1">[10]résultats!AH12</f>
        <v>0.57143667539752541</v>
      </c>
      <c r="H200" s="548">
        <f ca="1">[10]résultats!AK12</f>
        <v>0.55556162408481913</v>
      </c>
      <c r="I200" s="549">
        <f>[10]résultats!AL12</f>
        <v>22</v>
      </c>
      <c r="J200" s="549">
        <f>[10]résultats!AM12</f>
        <v>39</v>
      </c>
      <c r="K200" s="550">
        <f ca="1">[10]résultats!AN12</f>
        <v>0.56410737908523167</v>
      </c>
      <c r="L200" s="551">
        <f>[10]résultats!AE12</f>
        <v>13</v>
      </c>
      <c r="M200" s="1204"/>
      <c r="N200" s="338">
        <f t="shared" ca="1" si="9"/>
        <v>13.002070606408578</v>
      </c>
      <c r="O200" s="338" t="str">
        <f t="shared" si="10"/>
        <v>Cojean Youen</v>
      </c>
      <c r="AL200" s="532"/>
    </row>
    <row r="201" spans="1:38">
      <c r="A201" s="552" t="str">
        <f>[10]résultats!A28</f>
        <v>Lecossier Michel</v>
      </c>
      <c r="B201" s="544">
        <f>[10]résultats!AF28</f>
        <v>1</v>
      </c>
      <c r="C201" s="544">
        <f>[10]résultats!AG28</f>
        <v>9</v>
      </c>
      <c r="D201" s="545">
        <f>[10]résultats!AI28</f>
        <v>13</v>
      </c>
      <c r="E201" s="546">
        <f>[10]résultats!AJ28</f>
        <v>18</v>
      </c>
      <c r="F201" s="1202"/>
      <c r="G201" s="547">
        <f ca="1">[10]résultats!AH28</f>
        <v>0.11111719622659684</v>
      </c>
      <c r="H201" s="548">
        <f ca="1">[10]résultats!AK28</f>
        <v>0.7222271184177963</v>
      </c>
      <c r="I201" s="549">
        <f>[10]résultats!AL28</f>
        <v>14</v>
      </c>
      <c r="J201" s="549">
        <f>[10]résultats!AM28</f>
        <v>27</v>
      </c>
      <c r="K201" s="550">
        <f ca="1">[10]résultats!AN28</f>
        <v>0.51851856477260949</v>
      </c>
      <c r="L201" s="551">
        <f>[10]résultats!AE28</f>
        <v>9</v>
      </c>
      <c r="M201" s="1204"/>
      <c r="N201" s="338">
        <f t="shared" ca="1" si="9"/>
        <v>9.000804873644336</v>
      </c>
      <c r="O201" s="338" t="str">
        <f t="shared" si="10"/>
        <v>Lecossier Michel</v>
      </c>
      <c r="AL201" s="532"/>
    </row>
    <row r="202" spans="1:38">
      <c r="A202" s="552" t="str">
        <f>[10]résultats!A23</f>
        <v>Allano Antoine</v>
      </c>
      <c r="B202" s="544">
        <f>[10]résultats!AF23</f>
        <v>11</v>
      </c>
      <c r="C202" s="544">
        <f>[10]résultats!AG23</f>
        <v>15</v>
      </c>
      <c r="D202" s="545">
        <f>[10]résultats!AI23</f>
        <v>6</v>
      </c>
      <c r="E202" s="546">
        <f>[10]résultats!AJ23</f>
        <v>18</v>
      </c>
      <c r="F202" s="1202"/>
      <c r="G202" s="547">
        <f ca="1">[10]résultats!AH23</f>
        <v>0.73333829572799958</v>
      </c>
      <c r="H202" s="548">
        <f ca="1">[10]résultats!AK23</f>
        <v>0.33333405895010171</v>
      </c>
      <c r="I202" s="549">
        <f>[10]résultats!AL23</f>
        <v>17</v>
      </c>
      <c r="J202" s="549">
        <f>[10]résultats!AM23</f>
        <v>33</v>
      </c>
      <c r="K202" s="550">
        <f ca="1">[10]résultats!AN23</f>
        <v>0.51515959177353354</v>
      </c>
      <c r="L202" s="551">
        <f>[10]résultats!AE23</f>
        <v>11</v>
      </c>
      <c r="M202" s="1204"/>
      <c r="N202" s="338">
        <f t="shared" ca="1" si="9"/>
        <v>11.000081816454863</v>
      </c>
      <c r="O202" s="338" t="str">
        <f t="shared" si="10"/>
        <v>Allano Antoine</v>
      </c>
      <c r="AL202" s="532"/>
    </row>
    <row r="203" spans="1:38">
      <c r="A203" s="552" t="str">
        <f>[10]résultats!A13</f>
        <v>Morin Emmanuel</v>
      </c>
      <c r="B203" s="544">
        <f>[10]résultats!AF13</f>
        <v>10</v>
      </c>
      <c r="C203" s="544">
        <f>[10]résultats!AG13</f>
        <v>18</v>
      </c>
      <c r="D203" s="545">
        <f>[10]résultats!AI13</f>
        <v>8</v>
      </c>
      <c r="E203" s="546">
        <f>[10]résultats!AJ13</f>
        <v>18</v>
      </c>
      <c r="F203" s="1202"/>
      <c r="G203" s="547">
        <f ca="1">[10]résultats!AH13</f>
        <v>0.55556538317692727</v>
      </c>
      <c r="H203" s="548">
        <f ca="1">[10]résultats!AK13</f>
        <v>0.44445263039234595</v>
      </c>
      <c r="I203" s="549">
        <f>[10]résultats!AL13</f>
        <v>18</v>
      </c>
      <c r="J203" s="549">
        <f>[10]résultats!AM13</f>
        <v>36</v>
      </c>
      <c r="K203" s="550">
        <f ca="1">[10]résultats!AN13</f>
        <v>0.50000692321628826</v>
      </c>
      <c r="L203" s="551">
        <f>[10]résultats!AE6</f>
        <v>14</v>
      </c>
      <c r="M203" s="1204"/>
      <c r="N203" s="338">
        <f t="shared" ca="1" si="9"/>
        <v>14.004522525272566</v>
      </c>
      <c r="O203" s="338" t="str">
        <f t="shared" si="10"/>
        <v>Morin Emmanuel</v>
      </c>
      <c r="AL203" s="532"/>
    </row>
    <row r="204" spans="1:38">
      <c r="A204" s="552" t="str">
        <f>[10]résultats!A27</f>
        <v>Lorho Mathieu</v>
      </c>
      <c r="B204" s="544">
        <f>[10]résultats!AF27</f>
        <v>4</v>
      </c>
      <c r="C204" s="544">
        <f>[10]résultats!AG27</f>
        <v>12</v>
      </c>
      <c r="D204" s="545">
        <f>[10]résultats!AI27</f>
        <v>8</v>
      </c>
      <c r="E204" s="546">
        <f>[10]résultats!AJ27</f>
        <v>12</v>
      </c>
      <c r="F204" s="1202"/>
      <c r="G204" s="547">
        <f ca="1">[10]résultats!AH27</f>
        <v>0.33333336430174421</v>
      </c>
      <c r="H204" s="548">
        <f ca="1">[10]résultats!AK27</f>
        <v>0.66667581366777928</v>
      </c>
      <c r="I204" s="549">
        <f>[10]résultats!AL27</f>
        <v>12</v>
      </c>
      <c r="J204" s="549">
        <f>[10]résultats!AM27</f>
        <v>24</v>
      </c>
      <c r="K204" s="550">
        <f ca="1">[10]résultats!AN27</f>
        <v>0.50000969396279016</v>
      </c>
      <c r="L204" s="551">
        <f>[10]résultats!AE27</f>
        <v>8</v>
      </c>
      <c r="M204" s="1204"/>
      <c r="N204" s="338">
        <f t="shared" ca="1" si="9"/>
        <v>8.0037536989106091</v>
      </c>
      <c r="O204" s="338" t="str">
        <f t="shared" si="10"/>
        <v>Lorho Mathieu</v>
      </c>
      <c r="AL204" s="532"/>
    </row>
    <row r="205" spans="1:38">
      <c r="A205" s="552" t="str">
        <f>[10]résultats!A17</f>
        <v>Colombel Guy</v>
      </c>
      <c r="B205" s="544">
        <f>[10]résultats!AF17</f>
        <v>3</v>
      </c>
      <c r="C205" s="544">
        <f>[10]résultats!AG17</f>
        <v>9</v>
      </c>
      <c r="D205" s="545">
        <f>[10]résultats!AI17</f>
        <v>9</v>
      </c>
      <c r="E205" s="546">
        <f>[10]résultats!AJ17</f>
        <v>15</v>
      </c>
      <c r="F205" s="1202"/>
      <c r="G205" s="547">
        <f ca="1">[10]résultats!AH17</f>
        <v>0.33333989158175742</v>
      </c>
      <c r="H205" s="548">
        <f ca="1">[10]résultats!AK17</f>
        <v>0.6000065731047407</v>
      </c>
      <c r="I205" s="549">
        <f>[10]résultats!AL17</f>
        <v>12</v>
      </c>
      <c r="J205" s="549">
        <f>[10]résultats!AM17</f>
        <v>24</v>
      </c>
      <c r="K205" s="550">
        <f ca="1">[10]résultats!AN17</f>
        <v>0.50000501774518247</v>
      </c>
      <c r="L205" s="551">
        <f>[10]résultats!AE13</f>
        <v>12</v>
      </c>
      <c r="M205" s="1204"/>
      <c r="N205" s="338">
        <f t="shared" ca="1" si="9"/>
        <v>12.006439429224249</v>
      </c>
      <c r="O205" s="338" t="str">
        <f t="shared" si="10"/>
        <v>Colombel Guy</v>
      </c>
    </row>
    <row r="206" spans="1:38">
      <c r="A206" s="552" t="str">
        <f>[10]résultats!A25</f>
        <v>Boulaire Emile</v>
      </c>
      <c r="B206" s="544">
        <f>[10]résultats!AF25</f>
        <v>7</v>
      </c>
      <c r="C206" s="544">
        <f>[10]résultats!AG25</f>
        <v>15</v>
      </c>
      <c r="D206" s="545">
        <f>[10]résultats!AI25</f>
        <v>8</v>
      </c>
      <c r="E206" s="546">
        <f>[10]résultats!AJ25</f>
        <v>15</v>
      </c>
      <c r="F206" s="1202"/>
      <c r="G206" s="547">
        <f ca="1">[10]résultats!AH25</f>
        <v>0.4666705750939229</v>
      </c>
      <c r="H206" s="548">
        <f ca="1">[10]résultats!AK25</f>
        <v>0.53333774893497021</v>
      </c>
      <c r="I206" s="549">
        <f>[10]résultats!AL25</f>
        <v>15</v>
      </c>
      <c r="J206" s="549">
        <f>[10]résultats!AM25</f>
        <v>30</v>
      </c>
      <c r="K206" s="550">
        <f ca="1">[10]résultats!AN25</f>
        <v>0.50000839941631903</v>
      </c>
      <c r="L206" s="551">
        <f>[10]résultats!AE17</f>
        <v>8</v>
      </c>
      <c r="M206" s="1204"/>
      <c r="N206" s="338">
        <f t="shared" ca="1" si="9"/>
        <v>8.009802524178351</v>
      </c>
      <c r="O206" s="338" t="str">
        <f t="shared" si="10"/>
        <v>Boulaire Emile</v>
      </c>
    </row>
    <row r="207" spans="1:38">
      <c r="A207" s="552" t="str">
        <f>[10]résultats!A6</f>
        <v>Morin Quentin</v>
      </c>
      <c r="B207" s="544">
        <f>[10]résultats!AF6</f>
        <v>13</v>
      </c>
      <c r="C207" s="544">
        <f>[10]résultats!AG6</f>
        <v>21</v>
      </c>
      <c r="D207" s="545">
        <f>[10]résultats!AI6</f>
        <v>8</v>
      </c>
      <c r="E207" s="546">
        <f>[10]résultats!AJ6</f>
        <v>21</v>
      </c>
      <c r="F207" s="1202"/>
      <c r="G207" s="547">
        <f ca="1">[10]résultats!AH6</f>
        <v>0.61905428474101476</v>
      </c>
      <c r="H207" s="548">
        <f ca="1">[10]résultats!AK6</f>
        <v>0.38095334736988573</v>
      </c>
      <c r="I207" s="549">
        <f>[10]résultats!AL6</f>
        <v>21</v>
      </c>
      <c r="J207" s="549">
        <f>[10]résultats!AM6</f>
        <v>42</v>
      </c>
      <c r="K207" s="550">
        <f ca="1">[10]résultats!AN6</f>
        <v>0.50000272460491668</v>
      </c>
      <c r="L207" s="551">
        <f>[10]résultats!AE25</f>
        <v>10</v>
      </c>
      <c r="M207" s="1204"/>
      <c r="N207" s="338">
        <f t="shared" ca="1" si="9"/>
        <v>10.007455165082895</v>
      </c>
      <c r="O207" s="338" t="str">
        <f t="shared" si="10"/>
        <v>Morin Quentin</v>
      </c>
    </row>
    <row r="208" spans="1:38">
      <c r="A208" s="552" t="str">
        <f>[10]résultats!A33</f>
        <v>Bousseau Yannick</v>
      </c>
      <c r="B208" s="544">
        <f>[10]résultats!AF33</f>
        <v>15</v>
      </c>
      <c r="C208" s="544">
        <f>[10]résultats!AG33</f>
        <v>15</v>
      </c>
      <c r="D208" s="545">
        <f>[10]résultats!AI33</f>
        <v>1</v>
      </c>
      <c r="E208" s="546">
        <f>[10]résultats!AJ33</f>
        <v>21</v>
      </c>
      <c r="F208" s="1202"/>
      <c r="G208" s="547">
        <f ca="1">[10]résultats!AH33</f>
        <v>1.0000098008218024</v>
      </c>
      <c r="H208" s="548">
        <f ca="1">[10]résultats!AK33</f>
        <v>4.762894746439357E-2</v>
      </c>
      <c r="I208" s="549">
        <f>[10]résultats!AL33</f>
        <v>16</v>
      </c>
      <c r="J208" s="549">
        <f>[10]résultats!AM33</f>
        <v>36</v>
      </c>
      <c r="K208" s="550">
        <f ca="1">[10]résultats!AN33</f>
        <v>0.4444517992553299</v>
      </c>
      <c r="L208" s="551">
        <f>[10]résultats!AE33</f>
        <v>12</v>
      </c>
      <c r="M208" s="1204"/>
      <c r="N208" s="338">
        <f t="shared" ca="1" si="9"/>
        <v>12.001416952011905</v>
      </c>
      <c r="O208" s="338" t="str">
        <f t="shared" si="10"/>
        <v>Bousseau Yannick</v>
      </c>
    </row>
    <row r="209" spans="1:15">
      <c r="A209" s="552" t="str">
        <f>[10]résultats!A15</f>
        <v>Couture Christophe</v>
      </c>
      <c r="B209" s="544">
        <f>[10]résultats!AF15</f>
        <v>6</v>
      </c>
      <c r="C209" s="544">
        <f>[10]résultats!AG15</f>
        <v>15</v>
      </c>
      <c r="D209" s="545">
        <f>[10]résultats!AI15</f>
        <v>5</v>
      </c>
      <c r="E209" s="546">
        <f>[10]résultats!AJ15</f>
        <v>12</v>
      </c>
      <c r="F209" s="1202"/>
      <c r="G209" s="547">
        <f ca="1">[10]résultats!AH15</f>
        <v>0.40000623564097199</v>
      </c>
      <c r="H209" s="548">
        <f ca="1">[10]résultats!AK15</f>
        <v>0.41667023334723241</v>
      </c>
      <c r="I209" s="549">
        <f>[10]résultats!AL15</f>
        <v>11</v>
      </c>
      <c r="J209" s="549">
        <f>[10]résultats!AM15</f>
        <v>27</v>
      </c>
      <c r="K209" s="550">
        <f ca="1">[10]résultats!AN15</f>
        <v>0.40740843988929093</v>
      </c>
      <c r="L209" s="551">
        <f>[10]résultats!AE15</f>
        <v>9</v>
      </c>
      <c r="M209" s="1204"/>
      <c r="N209" s="338">
        <f t="shared" ca="1" si="9"/>
        <v>9.0098628361867394</v>
      </c>
      <c r="O209" s="338" t="str">
        <f t="shared" si="10"/>
        <v>Couture Christophe</v>
      </c>
    </row>
    <row r="210" spans="1:15">
      <c r="A210" s="552" t="str">
        <f>[10]résultats!A18</f>
        <v>Baudais Luc</v>
      </c>
      <c r="B210" s="544">
        <f>[10]résultats!AF18</f>
        <v>5</v>
      </c>
      <c r="C210" s="544">
        <f>[10]résultats!AG18</f>
        <v>21</v>
      </c>
      <c r="D210" s="545">
        <f>[10]résultats!AI18</f>
        <v>12</v>
      </c>
      <c r="E210" s="546">
        <f>[10]résultats!AJ18</f>
        <v>21</v>
      </c>
      <c r="F210" s="1202"/>
      <c r="G210" s="547">
        <f ca="1">[10]résultats!AH18</f>
        <v>0.23810397087865637</v>
      </c>
      <c r="H210" s="548">
        <f ca="1">[10]résultats!AK18</f>
        <v>0.57143370865250787</v>
      </c>
      <c r="I210" s="549">
        <f>[10]résultats!AL18</f>
        <v>17</v>
      </c>
      <c r="J210" s="549">
        <f>[10]résultats!AM18</f>
        <v>42</v>
      </c>
      <c r="K210" s="550">
        <f ca="1">[10]résultats!AN18</f>
        <v>0.40476210215379915</v>
      </c>
      <c r="L210" s="551">
        <f>[10]résultats!AE18</f>
        <v>14</v>
      </c>
      <c r="M210" s="1204"/>
      <c r="N210" s="338">
        <f t="shared" ca="1" si="9"/>
        <v>14.009048018983883</v>
      </c>
      <c r="O210" s="338" t="str">
        <f t="shared" si="10"/>
        <v>Baudais Luc</v>
      </c>
    </row>
    <row r="211" spans="1:15">
      <c r="A211" s="552" t="str">
        <f>[10]résultats!A29</f>
        <v>Craineguy David</v>
      </c>
      <c r="B211" s="544">
        <f>[10]résultats!AF29</f>
        <v>5</v>
      </c>
      <c r="C211" s="544">
        <f>[10]résultats!AG29</f>
        <v>6</v>
      </c>
      <c r="D211" s="545">
        <f>[10]résultats!AI29</f>
        <v>1</v>
      </c>
      <c r="E211" s="546">
        <f>[10]résultats!AJ29</f>
        <v>9</v>
      </c>
      <c r="F211" s="1202"/>
      <c r="G211" s="547" t="str">
        <f ca="1">[10]résultats!AH29</f>
        <v>NS</v>
      </c>
      <c r="H211" s="548">
        <f ca="1">[10]résultats!AK29</f>
        <v>0.11111307696296173</v>
      </c>
      <c r="I211" s="549">
        <f>[10]résultats!AL29</f>
        <v>6</v>
      </c>
      <c r="J211" s="549">
        <f>[10]résultats!AM29</f>
        <v>15</v>
      </c>
      <c r="K211" s="550">
        <f ca="1">[10]résultats!AN29</f>
        <v>0.40000273650889723</v>
      </c>
      <c r="L211" s="551">
        <f>[10]résultats!AE29</f>
        <v>5</v>
      </c>
      <c r="M211" s="1204"/>
      <c r="N211" s="338">
        <f t="shared" ca="1" si="9"/>
        <v>5.0018680935325843</v>
      </c>
      <c r="O211" s="338" t="str">
        <f t="shared" si="10"/>
        <v>Craineguy David</v>
      </c>
    </row>
    <row r="212" spans="1:15">
      <c r="A212" s="552" t="str">
        <f>[10]résultats!A14</f>
        <v>Rochefort Reginald</v>
      </c>
      <c r="B212" s="544">
        <f>[10]résultats!AF14</f>
        <v>4</v>
      </c>
      <c r="C212" s="544">
        <f>[10]résultats!AG14</f>
        <v>18</v>
      </c>
      <c r="D212" s="545">
        <f>[10]résultats!AI14</f>
        <v>10</v>
      </c>
      <c r="E212" s="546">
        <f>[10]résultats!AJ14</f>
        <v>18</v>
      </c>
      <c r="F212" s="1202"/>
      <c r="G212" s="547">
        <f ca="1">[10]résultats!AH14</f>
        <v>0.22222500634868989</v>
      </c>
      <c r="H212" s="548">
        <f ca="1">[10]résultats!AK14</f>
        <v>0.55555954846893896</v>
      </c>
      <c r="I212" s="549">
        <f>[10]résultats!AL14</f>
        <v>14</v>
      </c>
      <c r="J212" s="549">
        <f>[10]résultats!AM14</f>
        <v>36</v>
      </c>
      <c r="K212" s="550">
        <f ca="1">[10]résultats!AN14</f>
        <v>0.38889817589098685</v>
      </c>
      <c r="L212" s="551">
        <f>[10]résultats!AE14</f>
        <v>12</v>
      </c>
      <c r="M212" s="1204"/>
      <c r="N212" s="338">
        <f t="shared" ca="1" si="9"/>
        <v>12.007770727378716</v>
      </c>
      <c r="O212" s="338" t="str">
        <f t="shared" si="10"/>
        <v>Rochefort Reginald</v>
      </c>
    </row>
    <row r="213" spans="1:15">
      <c r="A213" s="552" t="str">
        <f>[10]résultats!A21</f>
        <v>Morin Léa</v>
      </c>
      <c r="B213" s="544">
        <f>[10]résultats!AF21</f>
        <v>3</v>
      </c>
      <c r="C213" s="544">
        <f>[10]résultats!AG21</f>
        <v>21</v>
      </c>
      <c r="D213" s="545">
        <f>[10]résultats!AI21</f>
        <v>13</v>
      </c>
      <c r="E213" s="546">
        <f>[10]résultats!AJ21</f>
        <v>21</v>
      </c>
      <c r="F213" s="1202"/>
      <c r="G213" s="547">
        <f ca="1">[10]résultats!AH21</f>
        <v>0.14286652876202879</v>
      </c>
      <c r="H213" s="548">
        <f ca="1">[10]résultats!AK21</f>
        <v>0.61905272701781977</v>
      </c>
      <c r="I213" s="549">
        <f>[10]résultats!AL21</f>
        <v>16</v>
      </c>
      <c r="J213" s="549">
        <f>[10]résultats!AM21</f>
        <v>42</v>
      </c>
      <c r="K213" s="550">
        <f ca="1">[10]résultats!AN21</f>
        <v>0.38096083766343919</v>
      </c>
      <c r="L213" s="551">
        <f>[10]résultats!AE21</f>
        <v>14</v>
      </c>
      <c r="M213" s="1204"/>
      <c r="N213" s="338">
        <f t="shared" ca="1" si="9"/>
        <v>14.000083556070869</v>
      </c>
      <c r="O213" s="338" t="str">
        <f t="shared" si="10"/>
        <v>Morin Léa</v>
      </c>
    </row>
    <row r="214" spans="1:15">
      <c r="A214" s="552" t="str">
        <f>[10]résultats!A16</f>
        <v>Mierzwa Julien</v>
      </c>
      <c r="B214" s="544">
        <f>[10]résultats!AF16</f>
        <v>4</v>
      </c>
      <c r="C214" s="544">
        <f>[10]résultats!AG16</f>
        <v>15</v>
      </c>
      <c r="D214" s="545">
        <f>[10]résultats!AI16</f>
        <v>7</v>
      </c>
      <c r="E214" s="546">
        <f>[10]résultats!AJ16</f>
        <v>15</v>
      </c>
      <c r="F214" s="1202"/>
      <c r="G214" s="547">
        <f ca="1">[10]résultats!AH16</f>
        <v>0.26666681545614118</v>
      </c>
      <c r="H214" s="548">
        <f ca="1">[10]résultats!AK16</f>
        <v>0.46666925550794547</v>
      </c>
      <c r="I214" s="549">
        <f>[10]résultats!AL16</f>
        <v>11</v>
      </c>
      <c r="J214" s="549">
        <f>[10]résultats!AM16</f>
        <v>30</v>
      </c>
      <c r="K214" s="550">
        <f ca="1">[10]résultats!AN16</f>
        <v>0.3666698025945091</v>
      </c>
      <c r="L214" s="551">
        <f>[10]résultats!AE16</f>
        <v>10</v>
      </c>
      <c r="M214" s="1204"/>
      <c r="N214" s="338">
        <f t="shared" ca="1" si="9"/>
        <v>10.007249252382497</v>
      </c>
      <c r="O214" s="338" t="str">
        <f t="shared" si="10"/>
        <v>Mierzwa Julien</v>
      </c>
    </row>
    <row r="215" spans="1:15">
      <c r="A215" s="553" t="str">
        <f>[10]résultats!A36</f>
        <v>Guillotin Marie-Paule</v>
      </c>
      <c r="B215" s="544">
        <f>[10]résultats!AF36</f>
        <v>5</v>
      </c>
      <c r="C215" s="544">
        <f>[10]résultats!AG36</f>
        <v>12</v>
      </c>
      <c r="D215" s="545">
        <f>[10]résultats!AI36</f>
        <v>4</v>
      </c>
      <c r="E215" s="546">
        <f>[10]résultats!AJ36</f>
        <v>15</v>
      </c>
      <c r="F215" s="1202"/>
      <c r="G215" s="547">
        <f ca="1">[10]résultats!AH36</f>
        <v>0.41667272830114865</v>
      </c>
      <c r="H215" s="548">
        <f ca="1">[10]résultats!AK36</f>
        <v>0.26667502172447383</v>
      </c>
      <c r="I215" s="549">
        <f>[10]résultats!AL36</f>
        <v>9</v>
      </c>
      <c r="J215" s="549">
        <f>[10]résultats!AM36</f>
        <v>27</v>
      </c>
      <c r="K215" s="550">
        <f ca="1">[10]résultats!AN36</f>
        <v>0.33333929943783985</v>
      </c>
      <c r="L215" s="551">
        <f>[10]résultats!AE32</f>
        <v>12</v>
      </c>
      <c r="M215" s="1204"/>
      <c r="N215" s="338">
        <f t="shared" ca="1" si="9"/>
        <v>12.003325175798047</v>
      </c>
      <c r="O215" s="338" t="str">
        <f t="shared" si="10"/>
        <v>Guillotin Marie-Paule</v>
      </c>
    </row>
    <row r="216" spans="1:15">
      <c r="A216" s="552" t="str">
        <f>[10]résultats!A32</f>
        <v>Zaragoza Quentin</v>
      </c>
      <c r="B216" s="544">
        <f>[10]résultats!AF32</f>
        <v>8</v>
      </c>
      <c r="C216" s="544">
        <f>[10]résultats!AG32</f>
        <v>18</v>
      </c>
      <c r="D216" s="545">
        <f>[10]résultats!AI32</f>
        <v>4</v>
      </c>
      <c r="E216" s="546">
        <f>[10]résultats!AJ32</f>
        <v>18</v>
      </c>
      <c r="F216" s="1202"/>
      <c r="G216" s="547">
        <f ca="1">[10]résultats!AH32</f>
        <v>0.44445333986871521</v>
      </c>
      <c r="H216" s="548">
        <f ca="1">[10]résultats!AK32</f>
        <v>0.2222288371143864</v>
      </c>
      <c r="I216" s="549">
        <f>[10]résultats!AL32</f>
        <v>12</v>
      </c>
      <c r="J216" s="549">
        <f>[10]résultats!AM32</f>
        <v>36</v>
      </c>
      <c r="K216" s="550">
        <f ca="1">[10]résultats!AN32</f>
        <v>0.33334177792275277</v>
      </c>
      <c r="L216" s="551">
        <f>[10]résultats!AE36</f>
        <v>9</v>
      </c>
      <c r="M216" s="1204"/>
      <c r="N216" s="338">
        <f t="shared" ca="1" si="9"/>
        <v>9.0002184628944573</v>
      </c>
      <c r="O216" s="338" t="str">
        <f t="shared" si="10"/>
        <v>Zaragoza Quentin</v>
      </c>
    </row>
    <row r="217" spans="1:15">
      <c r="A217" s="552" t="str">
        <f>[10]résultats!A$38</f>
        <v>Ravel Serge</v>
      </c>
      <c r="B217" s="544">
        <f>[10]résultats!AF$38</f>
        <v>0</v>
      </c>
      <c r="C217" s="544">
        <f>[10]résultats!AG$38</f>
        <v>0</v>
      </c>
      <c r="D217" s="545">
        <f>[10]résultats!AI$38</f>
        <v>5</v>
      </c>
      <c r="E217" s="546">
        <f>[10]résultats!AJ$38</f>
        <v>18</v>
      </c>
      <c r="F217" s="1202"/>
      <c r="G217" s="547" t="str">
        <f ca="1">[10]résultats!AH$38</f>
        <v>X</v>
      </c>
      <c r="H217" s="548">
        <f ca="1">[10]résultats!AK$38</f>
        <v>0.27778714473597604</v>
      </c>
      <c r="I217" s="549">
        <f>[10]résultats!AL$38</f>
        <v>5</v>
      </c>
      <c r="J217" s="549">
        <f>[10]résultats!AM$38</f>
        <v>18</v>
      </c>
      <c r="K217" s="550">
        <f ca="1">[10]résultats!AN$38</f>
        <v>0.27778536139276155</v>
      </c>
      <c r="L217" s="551">
        <f>[10]résultats!AE26</f>
        <v>9</v>
      </c>
      <c r="M217" s="1204"/>
      <c r="N217" s="338">
        <f t="shared" ca="1" si="9"/>
        <v>9.0008068113982436</v>
      </c>
      <c r="O217" s="338" t="str">
        <f t="shared" si="10"/>
        <v>Ravel Serge</v>
      </c>
    </row>
    <row r="218" spans="1:15">
      <c r="A218" s="552" t="str">
        <f>[10]résultats!A26</f>
        <v>Le Cam Corentin</v>
      </c>
      <c r="B218" s="544">
        <f>[10]résultats!AF26</f>
        <v>4</v>
      </c>
      <c r="C218" s="544">
        <f>[10]résultats!AG26</f>
        <v>12</v>
      </c>
      <c r="D218" s="545">
        <f>[10]résultats!AI26</f>
        <v>3</v>
      </c>
      <c r="E218" s="546">
        <f>[10]résultats!AJ26</f>
        <v>15</v>
      </c>
      <c r="F218" s="1202"/>
      <c r="G218" s="547">
        <f ca="1">[10]résultats!AH26</f>
        <v>0.33333674823148146</v>
      </c>
      <c r="H218" s="548">
        <f ca="1">[10]résultats!AK26</f>
        <v>0.20000704378650772</v>
      </c>
      <c r="I218" s="549">
        <f>[10]résultats!AL26</f>
        <v>7</v>
      </c>
      <c r="J218" s="549">
        <f>[10]résultats!AM26</f>
        <v>27</v>
      </c>
      <c r="K218" s="550">
        <f ca="1">[10]résultats!AN26</f>
        <v>0.25926296449653741</v>
      </c>
      <c r="L218" s="551">
        <f>[10]résultats!AE37</f>
        <v>6</v>
      </c>
      <c r="M218" s="1204"/>
      <c r="N218" s="338">
        <f t="shared" ca="1" si="9"/>
        <v>6.0080022560708297</v>
      </c>
      <c r="O218" s="338" t="str">
        <f t="shared" si="10"/>
        <v>Le Cam Corentin</v>
      </c>
    </row>
    <row r="219" spans="1:15">
      <c r="A219" s="552" t="str">
        <f>[10]résultats!A37</f>
        <v>Sail Anthony</v>
      </c>
      <c r="B219" s="544">
        <f>[10]résultats!AF37</f>
        <v>0</v>
      </c>
      <c r="C219" s="544">
        <f>[10]résultats!AG37</f>
        <v>0</v>
      </c>
      <c r="D219" s="545">
        <f>[10]résultats!AI37</f>
        <v>3</v>
      </c>
      <c r="E219" s="546">
        <f>[10]résultats!AJ37</f>
        <v>18</v>
      </c>
      <c r="F219" s="1202"/>
      <c r="G219" s="547" t="str">
        <f ca="1">[10]résultats!AH37</f>
        <v>X</v>
      </c>
      <c r="H219" s="548">
        <f ca="1">[10]résultats!AK37</f>
        <v>0.16667342752589806</v>
      </c>
      <c r="I219" s="549">
        <f>[10]résultats!AL37</f>
        <v>3</v>
      </c>
      <c r="J219" s="549">
        <f>[10]résultats!AM37</f>
        <v>18</v>
      </c>
      <c r="K219" s="550">
        <f ca="1">[10]résultats!AN37</f>
        <v>0.16666868180756278</v>
      </c>
      <c r="L219" s="551">
        <f>[10]résultats!AE34</f>
        <v>8</v>
      </c>
      <c r="M219" s="1204"/>
      <c r="N219" s="338">
        <f t="shared" ca="1" si="9"/>
        <v>8.0046479431632171</v>
      </c>
      <c r="O219" s="338" t="str">
        <f t="shared" si="10"/>
        <v>Sail Anthony</v>
      </c>
    </row>
    <row r="220" spans="1:15">
      <c r="A220" s="552" t="str">
        <f>[10]résultats!A34</f>
        <v>Jugé Léana</v>
      </c>
      <c r="B220" s="544">
        <f>[10]résultats!AF34</f>
        <v>1</v>
      </c>
      <c r="C220" s="544">
        <f>[10]résultats!AG34</f>
        <v>12</v>
      </c>
      <c r="D220" s="545">
        <f>[10]résultats!AI34</f>
        <v>1</v>
      </c>
      <c r="E220" s="546">
        <f>[10]résultats!AJ34</f>
        <v>12</v>
      </c>
      <c r="F220" s="1202"/>
      <c r="G220" s="547">
        <f ca="1">[10]résultats!AH34</f>
        <v>8.3340816462565873E-2</v>
      </c>
      <c r="H220" s="548">
        <f ca="1">[10]résultats!AK34</f>
        <v>8.3336737779625386E-2</v>
      </c>
      <c r="I220" s="549">
        <f>[10]résultats!AL34</f>
        <v>2</v>
      </c>
      <c r="J220" s="549">
        <f>[10]résultats!AM34</f>
        <v>24</v>
      </c>
      <c r="K220" s="550">
        <f ca="1">[10]résultats!AN34</f>
        <v>8.3338722300103987E-2</v>
      </c>
      <c r="L220" s="551">
        <f>[10]résultats!AE$38</f>
        <v>6</v>
      </c>
      <c r="M220" s="1204"/>
      <c r="N220" s="338">
        <f t="shared" ca="1" si="9"/>
        <v>6.0088594542267559</v>
      </c>
      <c r="O220" s="338" t="str">
        <f t="shared" si="10"/>
        <v>Jugé Léana</v>
      </c>
    </row>
    <row r="221" spans="1:15">
      <c r="A221" s="552" t="str">
        <f>[10]résultats!A$39</f>
        <v>Faulkner Thierry</v>
      </c>
      <c r="B221" s="544">
        <f>[10]résultats!AF$39</f>
        <v>0</v>
      </c>
      <c r="C221" s="544">
        <f>[10]résultats!AG$39</f>
        <v>0</v>
      </c>
      <c r="D221" s="545">
        <f>[10]résultats!AI$39</f>
        <v>11</v>
      </c>
      <c r="E221" s="546">
        <f>[10]résultats!AJ$39</f>
        <v>12</v>
      </c>
      <c r="F221" s="1202"/>
      <c r="G221" s="547" t="str">
        <f ca="1">[10]résultats!AH$39</f>
        <v>X</v>
      </c>
      <c r="H221" s="548">
        <f ca="1">[10]résultats!AK$39</f>
        <v>0.91666701951497476</v>
      </c>
      <c r="I221" s="549">
        <f>[10]résultats!AL$39</f>
        <v>11</v>
      </c>
      <c r="J221" s="549">
        <f>[10]résultats!AM$39</f>
        <v>12</v>
      </c>
      <c r="K221" s="550" t="str">
        <f ca="1">[10]résultats!AN$39</f>
        <v>NS</v>
      </c>
      <c r="L221" s="551">
        <f>[10]résultats!AE$39</f>
        <v>4</v>
      </c>
      <c r="M221" s="1204"/>
      <c r="N221" s="338">
        <f t="shared" ca="1" si="9"/>
        <v>4.0074990736843548</v>
      </c>
      <c r="O221" s="338" t="str">
        <f t="shared" si="10"/>
        <v>Faulkner Thierry</v>
      </c>
    </row>
    <row r="222" spans="1:15">
      <c r="A222" s="552" t="str">
        <f>[10]résultats!A$40</f>
        <v>Simon Titouan</v>
      </c>
      <c r="B222" s="544">
        <f>[10]résultats!AF$40</f>
        <v>0</v>
      </c>
      <c r="C222" s="544">
        <f>[10]résultats!AG$40</f>
        <v>0</v>
      </c>
      <c r="D222" s="545">
        <f>[10]résultats!AI$40</f>
        <v>0</v>
      </c>
      <c r="E222" s="546">
        <f>[10]résultats!AJ$40</f>
        <v>3</v>
      </c>
      <c r="F222" s="1202"/>
      <c r="G222" s="547" t="str">
        <f ca="1">[10]résultats!AH$40</f>
        <v>X</v>
      </c>
      <c r="H222" s="548" t="str">
        <f ca="1">[10]résultats!AK$40</f>
        <v>NS</v>
      </c>
      <c r="I222" s="549">
        <f>[10]résultats!AL$40</f>
        <v>0</v>
      </c>
      <c r="J222" s="549">
        <f>[10]résultats!AM$40</f>
        <v>3</v>
      </c>
      <c r="K222" s="550" t="str">
        <f ca="1">[10]résultats!AN$40</f>
        <v>NS</v>
      </c>
      <c r="L222" s="551">
        <f>[10]résultats!AE$40</f>
        <v>1</v>
      </c>
      <c r="M222" s="1204"/>
      <c r="N222" s="338">
        <f t="shared" ca="1" si="9"/>
        <v>1.0073804400839226</v>
      </c>
      <c r="O222" s="338" t="str">
        <f t="shared" si="10"/>
        <v>Simon Titouan</v>
      </c>
    </row>
    <row r="223" spans="1:15">
      <c r="A223" s="552" t="str">
        <f>[10]résultats!A$41</f>
        <v>Trin Kilian</v>
      </c>
      <c r="B223" s="544">
        <f>[10]résultats!AF$41</f>
        <v>0</v>
      </c>
      <c r="C223" s="544">
        <f>[10]résultats!AG$41</f>
        <v>0</v>
      </c>
      <c r="D223" s="545">
        <f>[10]résultats!AI$41</f>
        <v>3</v>
      </c>
      <c r="E223" s="546">
        <f>[10]résultats!AJ$41</f>
        <v>6</v>
      </c>
      <c r="F223" s="1202"/>
      <c r="G223" s="547" t="str">
        <f ca="1">[10]résultats!AH$41</f>
        <v>X</v>
      </c>
      <c r="H223" s="548">
        <f ca="1">[10]résultats!AK$41</f>
        <v>0.50000974400786191</v>
      </c>
      <c r="I223" s="549">
        <f>[10]résultats!AL$41</f>
        <v>3</v>
      </c>
      <c r="J223" s="549">
        <f>[10]résultats!AM$41</f>
        <v>6</v>
      </c>
      <c r="K223" s="550" t="str">
        <f ca="1">[10]résultats!AN$41</f>
        <v>NS</v>
      </c>
      <c r="L223" s="551">
        <f>[10]résultats!AE$41</f>
        <v>2</v>
      </c>
      <c r="M223" s="1204"/>
      <c r="N223" s="338">
        <f t="shared" ca="1" si="9"/>
        <v>2.0008137032386575</v>
      </c>
      <c r="O223" s="338" t="str">
        <f t="shared" si="10"/>
        <v>Trin Kilian</v>
      </c>
    </row>
    <row r="224" spans="1:15">
      <c r="A224" s="552" t="str">
        <f>[10]résultats!A$42</f>
        <v>Ayoul-Bellot Thais</v>
      </c>
      <c r="B224" s="544">
        <f>[10]résultats!AF$42</f>
        <v>0</v>
      </c>
      <c r="C224" s="544">
        <f>[10]résultats!AG$42</f>
        <v>0</v>
      </c>
      <c r="D224" s="545">
        <f>[10]résultats!AI$42</f>
        <v>0</v>
      </c>
      <c r="E224" s="546">
        <f>[10]résultats!AJ$42</f>
        <v>3</v>
      </c>
      <c r="F224" s="1202"/>
      <c r="G224" s="547" t="str">
        <f ca="1">[10]résultats!AH$42</f>
        <v>X</v>
      </c>
      <c r="H224" s="548" t="str">
        <f ca="1">[10]résultats!AK$42</f>
        <v>NS</v>
      </c>
      <c r="I224" s="549">
        <f>[10]résultats!AL$42</f>
        <v>0</v>
      </c>
      <c r="J224" s="549">
        <f>[10]résultats!AM$42</f>
        <v>3</v>
      </c>
      <c r="K224" s="550" t="str">
        <f ca="1">[10]résultats!AN$42</f>
        <v>NS</v>
      </c>
      <c r="L224" s="551">
        <f>[10]résultats!AE$42</f>
        <v>1</v>
      </c>
      <c r="M224" s="1204"/>
      <c r="N224" s="338">
        <f t="shared" ca="1" si="9"/>
        <v>1.0028709733007317</v>
      </c>
      <c r="O224" s="338" t="str">
        <f t="shared" si="10"/>
        <v>Ayoul-Bellot Thais</v>
      </c>
    </row>
    <row r="225" spans="1:15">
      <c r="A225" s="552" t="str">
        <f>[10]résultats!A$43</f>
        <v>Cojean Gwendal</v>
      </c>
      <c r="B225" s="544">
        <f>[10]résultats!AF$43</f>
        <v>0</v>
      </c>
      <c r="C225" s="544">
        <f>[10]résultats!AG$43</f>
        <v>0</v>
      </c>
      <c r="D225" s="545">
        <f>[10]résultats!AI$43</f>
        <v>0</v>
      </c>
      <c r="E225" s="546">
        <f>[10]résultats!AJ$43</f>
        <v>3</v>
      </c>
      <c r="F225" s="1202"/>
      <c r="G225" s="547" t="str">
        <f ca="1">[10]résultats!AH$43</f>
        <v>X</v>
      </c>
      <c r="H225" s="548" t="str">
        <f ca="1">[10]résultats!AK$43</f>
        <v>NS</v>
      </c>
      <c r="I225" s="549">
        <f>[10]résultats!AL$43</f>
        <v>0</v>
      </c>
      <c r="J225" s="549">
        <f>[10]résultats!AM$43</f>
        <v>3</v>
      </c>
      <c r="K225" s="550" t="str">
        <f ca="1">[10]résultats!AN$43</f>
        <v>NS</v>
      </c>
      <c r="L225" s="551">
        <f>[10]résultats!AE$43</f>
        <v>1</v>
      </c>
      <c r="M225" s="1204"/>
      <c r="N225" s="338">
        <f t="shared" ca="1" si="9"/>
        <v>1.0071444701573977</v>
      </c>
      <c r="O225" s="338" t="str">
        <f t="shared" si="10"/>
        <v>Cojean Gwendal</v>
      </c>
    </row>
    <row r="226" spans="1:15">
      <c r="A226" s="338"/>
    </row>
  </sheetData>
  <sheetProtection selectLockedCells="1"/>
  <mergeCells count="29">
    <mergeCell ref="A73:D76"/>
    <mergeCell ref="A10:M10"/>
    <mergeCell ref="AH12:AL13"/>
    <mergeCell ref="AF26:AL27"/>
    <mergeCell ref="A30:D34"/>
    <mergeCell ref="A35:M37"/>
    <mergeCell ref="Z35:AL39"/>
    <mergeCell ref="AF49:AL50"/>
    <mergeCell ref="A50:D55"/>
    <mergeCell ref="A56:M58"/>
    <mergeCell ref="Z56:AL60"/>
    <mergeCell ref="AF70:AL71"/>
    <mergeCell ref="A141:M143"/>
    <mergeCell ref="A77:M80"/>
    <mergeCell ref="Z82:AL85"/>
    <mergeCell ref="A93:D98"/>
    <mergeCell ref="AF95:AL96"/>
    <mergeCell ref="A99:M101"/>
    <mergeCell ref="Z106:AL110"/>
    <mergeCell ref="A114:D119"/>
    <mergeCell ref="A120:M122"/>
    <mergeCell ref="AF120:AL121"/>
    <mergeCell ref="Z132:AL136"/>
    <mergeCell ref="A135:D140"/>
    <mergeCell ref="A156:D161"/>
    <mergeCell ref="A162:M163"/>
    <mergeCell ref="A176:D181"/>
    <mergeCell ref="F184:F225"/>
    <mergeCell ref="M184:M225"/>
  </mergeCells>
  <conditionalFormatting sqref="F82:F88 F60:F68 F103:F110 F39:F47 F124:F131 F145:F152 E18:F25">
    <cfRule type="cellIs" dxfId="219" priority="26" stopIfTrue="1" operator="equal">
      <formula>""</formula>
    </cfRule>
    <cfRule type="cellIs" dxfId="218" priority="27" stopIfTrue="1" operator="equal">
      <formula>$A$101</formula>
    </cfRule>
  </conditionalFormatting>
  <conditionalFormatting sqref="E38 G38:J38 G59:J59 G81:J81 E59 G102:J102 F82:F88 E81 F60:F68 E102 F103:F110 F39:F47 G123:J123 E123 G144:J144 E144 F124:F131 F145:F152 E18:F25">
    <cfRule type="cellIs" dxfId="217" priority="25" operator="equal">
      <formula>$N$20</formula>
    </cfRule>
  </conditionalFormatting>
  <conditionalFormatting sqref="G123:J123 E123 E144 G144:J144">
    <cfRule type="cellIs" dxfId="216" priority="23" operator="equal">
      <formula>#REF!</formula>
    </cfRule>
    <cfRule type="cellIs" dxfId="215" priority="24" operator="equal">
      <formula>0</formula>
    </cfRule>
  </conditionalFormatting>
  <conditionalFormatting sqref="I215:I218 J217 D218 I185:I189 I205 I193:I197 I199:I203 J189 K200 K203 J202 J205:K206 E190:E192 C184 E184 C189:C190 D194:E195 B193:B194 C196 E197 D200 D205 B205 AD106:AD110 AD58:AD60 AE41:AE48 AE62:AE69 AE87:AE94 AD132:AD136 AE112:AE119 AE18:AE25 AD84:AD85 B209:E214 I208:K214 B219:E225 I219:K225 G184:G225">
    <cfRule type="cellIs" dxfId="214" priority="21" stopIfTrue="1" operator="equal">
      <formula>""</formula>
    </cfRule>
    <cfRule type="cellIs" dxfId="213" priority="22" stopIfTrue="1" operator="equal">
      <formula>$A$110</formula>
    </cfRule>
  </conditionalFormatting>
  <conditionalFormatting sqref="I215:I218 J217 D218 I185:I189 I205 I193:I197 I199:I203 J189 K200 K203 J202 J205:K206 E190:E192 C184 C189:C190 D194:E195 B193:B194 C196 E197 D200 D205 B205 H183 AD84:AD86 J183:L183 AD40 AF40:AI40 AD58:AD61 AF61:AI61 AD106:AD111 AF86:AI86 AF111:AI111 AE41:AE48 AE62:AE69 AE87:AE94 AD132:AD136 E183:E184 AE112:AE119 AE18:AE25 B209:E214 I208:K214 B219:E225 I219:K225 G184:G225">
    <cfRule type="cellIs" dxfId="212" priority="20" operator="equal">
      <formula>#REF!</formula>
    </cfRule>
  </conditionalFormatting>
  <conditionalFormatting sqref="K200 K203 J202 J205:K206 E192 D194:E195 B194 C196 E197 D200 D205 B205 J208:K208 E183 H183 J183:L183">
    <cfRule type="cellIs" dxfId="211" priority="18" operator="equal">
      <formula>#REF!</formula>
    </cfRule>
    <cfRule type="cellIs" dxfId="210" priority="19" operator="equal">
      <formula>0</formula>
    </cfRule>
  </conditionalFormatting>
  <conditionalFormatting sqref="G184:G225 K184:K225">
    <cfRule type="cellIs" dxfId="209" priority="17" stopIfTrue="1" operator="greaterThan">
      <formula>0.5</formula>
    </cfRule>
  </conditionalFormatting>
  <conditionalFormatting sqref="E18:F25">
    <cfRule type="cellIs" dxfId="208" priority="16" operator="equal">
      <formula>$N$17</formula>
    </cfRule>
  </conditionalFormatting>
  <conditionalFormatting sqref="F39:F46">
    <cfRule type="cellIs" dxfId="207" priority="15" operator="equal">
      <formula>$N$18</formula>
    </cfRule>
  </conditionalFormatting>
  <conditionalFormatting sqref="F103:F110 F124:F131 F145:F152">
    <cfRule type="cellIs" dxfId="206" priority="14" operator="equal">
      <formula>$N$23</formula>
    </cfRule>
  </conditionalFormatting>
  <conditionalFormatting sqref="F60:F67">
    <cfRule type="cellIs" dxfId="205" priority="13" operator="equal">
      <formula>$N$19</formula>
    </cfRule>
  </conditionalFormatting>
  <conditionalFormatting sqref="B209:E214 B219:E225">
    <cfRule type="cellIs" dxfId="204" priority="11" operator="equal">
      <formula>#REF!</formula>
    </cfRule>
    <cfRule type="cellIs" dxfId="203" priority="12" operator="equal">
      <formula>0</formula>
    </cfRule>
  </conditionalFormatting>
  <conditionalFormatting sqref="J209:K209 J211:K213 K210 K214 K219:K225">
    <cfRule type="cellIs" dxfId="202" priority="9" operator="equal">
      <formula>#REF!</formula>
    </cfRule>
    <cfRule type="cellIs" dxfId="201" priority="10" operator="equal">
      <formula>0</formula>
    </cfRule>
  </conditionalFormatting>
  <conditionalFormatting sqref="E49:E55 E28:E34 E70:E76 E92:E98 E113:E119 E134:E140 E155:E161">
    <cfRule type="containsText" dxfId="200" priority="8" operator="containsText" text="déf">
      <formula>NOT(ISERROR(SEARCH("déf",E28)))</formula>
    </cfRule>
  </conditionalFormatting>
  <conditionalFormatting sqref="F165:F172">
    <cfRule type="cellIs" dxfId="199" priority="6" stopIfTrue="1" operator="equal">
      <formula>""</formula>
    </cfRule>
    <cfRule type="cellIs" dxfId="198" priority="7" stopIfTrue="1" operator="equal">
      <formula>$A$101</formula>
    </cfRule>
  </conditionalFormatting>
  <conditionalFormatting sqref="G164:J164 E164 F165:F172">
    <cfRule type="cellIs" dxfId="197" priority="5" operator="equal">
      <formula>$N$20</formula>
    </cfRule>
  </conditionalFormatting>
  <conditionalFormatting sqref="E164 G164:J164">
    <cfRule type="cellIs" dxfId="196" priority="3" operator="equal">
      <formula>#REF!</formula>
    </cfRule>
    <cfRule type="cellIs" dxfId="195" priority="4" operator="equal">
      <formula>0</formula>
    </cfRule>
  </conditionalFormatting>
  <conditionalFormatting sqref="F165:F172">
    <cfRule type="cellIs" dxfId="194" priority="2" operator="equal">
      <formula>$N$23</formula>
    </cfRule>
  </conditionalFormatting>
  <conditionalFormatting sqref="E175:E181">
    <cfRule type="containsText" dxfId="193" priority="1" operator="containsText" text="déf">
      <formula>NOT(ISERROR(SEARCH("déf",E175)))</formula>
    </cfRule>
  </conditionalFormatting>
  <printOptions horizontalCentered="1" verticalCentered="1"/>
  <pageMargins left="1.1023622047244095" right="0.70866141732283472" top="0.74803149606299213" bottom="0.74803149606299213" header="0.31496062992125984" footer="0.31496062992125984"/>
  <pageSetup paperSize="9" scale="79" orientation="portrait" r:id="rId1"/>
  <headerFooter>
    <oddHeader>&amp;L&amp;G&amp;R&amp;G</oddHeader>
    <oddFooter>&amp;L&amp;G</oddFooter>
  </headerFooter>
  <rowBreaks count="2" manualBreakCount="2">
    <brk id="55" max="12" man="1"/>
    <brk id="119" max="12" man="1"/>
  </rowBreaks>
  <drawing r:id="rId2"/>
  <legacyDrawing r:id="rId3"/>
  <legacyDrawingHF r:id="rId4"/>
  <oleObjects>
    <mc:AlternateContent xmlns:mc="http://schemas.openxmlformats.org/markup-compatibility/2006">
      <mc:Choice Requires="x14">
        <oleObject shapeId="47105" r:id="rId5">
          <objectPr defaultSize="0" autoPict="0" r:id="rId6">
            <anchor moveWithCells="1" sizeWithCells="1">
              <from>
                <xdr:col>5</xdr:col>
                <xdr:colOff>142875</xdr:colOff>
                <xdr:row>183</xdr:row>
                <xdr:rowOff>133350</xdr:rowOff>
              </from>
              <to>
                <xdr:col>5</xdr:col>
                <xdr:colOff>1114425</xdr:colOff>
                <xdr:row>193</xdr:row>
                <xdr:rowOff>0</xdr:rowOff>
              </to>
            </anchor>
          </objectPr>
        </oleObject>
      </mc:Choice>
      <mc:Fallback>
        <oleObject shapeId="47105" r:id="rId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41"/>
  <sheetViews>
    <sheetView showZeros="0" topLeftCell="A17" zoomScale="90" zoomScaleNormal="90" workbookViewId="0">
      <selection activeCell="X12" sqref="X12"/>
    </sheetView>
  </sheetViews>
  <sheetFormatPr baseColWidth="10" defaultRowHeight="20.25"/>
  <cols>
    <col min="1" max="1" width="22.42578125" customWidth="1"/>
    <col min="2" max="2" width="7.42578125" customWidth="1"/>
    <col min="3" max="3" width="6" customWidth="1"/>
    <col min="4" max="5" width="6.7109375" customWidth="1"/>
    <col min="6" max="6" width="6.5703125" customWidth="1"/>
    <col min="7" max="8" width="6.42578125" customWidth="1"/>
    <col min="9" max="9" width="8" customWidth="1"/>
    <col min="10" max="10" width="5.7109375" customWidth="1"/>
    <col min="11" max="11" width="6.85546875" customWidth="1"/>
    <col min="12" max="13" width="6.7109375" customWidth="1"/>
    <col min="14" max="14" width="7.7109375" customWidth="1"/>
    <col min="15" max="15" width="6.85546875" customWidth="1"/>
    <col min="16" max="16" width="8" customWidth="1"/>
    <col min="17" max="17" width="7.85546875" customWidth="1"/>
    <col min="18" max="18" width="21.140625" style="72" customWidth="1"/>
    <col min="19" max="19" width="8.28515625" style="72" bestFit="1" customWidth="1"/>
    <col min="20" max="20" width="4.85546875" style="72" customWidth="1"/>
    <col min="21" max="21" width="6.7109375" style="72" customWidth="1"/>
    <col min="22" max="26" width="11.42578125" style="72"/>
  </cols>
  <sheetData>
    <row r="1" spans="1:26" s="1" customFormat="1" ht="29.25">
      <c r="A1" s="1138" t="str">
        <f>[10]Critérium!B1</f>
        <v>CRITERIUM  FEDERAL</v>
      </c>
      <c r="B1" s="973">
        <f>[10]Critérium!C1</f>
        <v>0</v>
      </c>
      <c r="C1" s="974">
        <f>[10]Critérium!D1</f>
        <v>0</v>
      </c>
      <c r="D1" s="974">
        <f>[10]Critérium!E1</f>
        <v>0</v>
      </c>
      <c r="E1" s="975">
        <f>[10]Critérium!F1</f>
        <v>0</v>
      </c>
      <c r="F1" s="975">
        <f>[10]Critérium!G1</f>
        <v>0</v>
      </c>
      <c r="G1" s="973">
        <f>[10]Critérium!H1</f>
        <v>0</v>
      </c>
      <c r="H1" s="974">
        <f>[10]Critérium!I1</f>
        <v>0</v>
      </c>
      <c r="I1" s="974"/>
      <c r="J1" s="976" t="str">
        <f>[10]Critérium!K1</f>
        <v>2014 / 2015</v>
      </c>
      <c r="K1" s="974"/>
      <c r="L1" s="974"/>
      <c r="M1" s="975">
        <f>[10]Critérium!N1</f>
        <v>0</v>
      </c>
      <c r="N1" s="975">
        <f>[10]Critérium!O1</f>
        <v>0</v>
      </c>
      <c r="O1" s="974">
        <f>[10]Critérium!P1</f>
        <v>0</v>
      </c>
      <c r="P1" s="974">
        <f>[10]Critérium!Q1</f>
        <v>0</v>
      </c>
      <c r="Q1" s="977">
        <f>[10]Critérium!R1</f>
        <v>0</v>
      </c>
      <c r="R1" s="975">
        <f>[10]Critérium!S1</f>
        <v>0</v>
      </c>
      <c r="S1" s="975">
        <f>[10]Critérium!T1</f>
        <v>0</v>
      </c>
      <c r="T1" s="975">
        <f>[10]Critérium!U1</f>
        <v>0</v>
      </c>
      <c r="U1" s="983">
        <f>[10]Critérium!V1</f>
        <v>0</v>
      </c>
      <c r="V1" s="72"/>
      <c r="W1" s="72"/>
      <c r="X1" s="72"/>
      <c r="Y1" s="72"/>
      <c r="Z1" s="72"/>
    </row>
    <row r="2" spans="1:26" s="1" customFormat="1" ht="29.25">
      <c r="A2" s="979" t="str">
        <f>[10]Critérium!B2</f>
        <v>32 participations</v>
      </c>
      <c r="B2" s="980" t="str">
        <f>[10]Critérium!C2</f>
        <v xml:space="preserve"> dont 8 en Rég. ,1 en Nat.</v>
      </c>
      <c r="C2" s="974"/>
      <c r="D2" s="974"/>
      <c r="E2" s="974"/>
      <c r="F2" s="974"/>
      <c r="G2" s="981" t="str">
        <f>[10]Critérium!H2</f>
        <v>et 27 en Départementale dont 17 en D1</v>
      </c>
      <c r="H2" s="973"/>
      <c r="I2" s="976"/>
      <c r="J2" s="973"/>
      <c r="K2" s="976"/>
      <c r="L2" s="976"/>
      <c r="M2" s="976"/>
      <c r="N2" s="973"/>
      <c r="O2" s="975"/>
      <c r="P2" s="975"/>
      <c r="Q2" s="982">
        <f>[10]Critérium!R2</f>
        <v>0</v>
      </c>
      <c r="R2" s="975">
        <f>[10]Critérium!S2</f>
        <v>0</v>
      </c>
      <c r="S2" s="975" t="str">
        <f>[10]Critérium!T2</f>
        <v>TOTAL</v>
      </c>
      <c r="T2" s="975">
        <f>[10]Critérium!U2</f>
        <v>0</v>
      </c>
      <c r="U2" s="983">
        <f>[10]Critérium!V2</f>
        <v>0</v>
      </c>
      <c r="V2" s="72"/>
      <c r="W2" s="72"/>
      <c r="X2" s="72"/>
      <c r="Y2" s="72"/>
      <c r="Z2" s="72"/>
    </row>
    <row r="3" spans="1:26" ht="15" customHeight="1">
      <c r="A3" s="1282" t="str">
        <f>[10]Critérium!B3</f>
        <v>10 inscrits dont 3 adultes</v>
      </c>
      <c r="B3" s="978">
        <f>[10]Critérium!C3</f>
        <v>0</v>
      </c>
      <c r="C3" s="984" t="str">
        <f>[10]Critérium!D3</f>
        <v xml:space="preserve">14 montées et </v>
      </c>
      <c r="D3" s="985"/>
      <c r="E3" s="985"/>
      <c r="F3" s="984" t="str">
        <f>[10]Critérium!G3</f>
        <v>11 descentes ' théoriques'</v>
      </c>
      <c r="G3" s="985"/>
      <c r="H3" s="985"/>
      <c r="I3" s="985"/>
      <c r="J3" s="985"/>
      <c r="K3" s="984"/>
      <c r="L3" s="984"/>
      <c r="M3" s="986" t="str">
        <f>[10]Critérium!N3</f>
        <v>( 4 absence(s) )</v>
      </c>
      <c r="N3" s="985"/>
      <c r="O3" s="985"/>
      <c r="P3" s="985"/>
      <c r="Q3" s="987">
        <f>[10]Critérium!R3</f>
        <v>0</v>
      </c>
      <c r="R3" s="978">
        <f>[10]Critérium!S3</f>
        <v>0</v>
      </c>
      <c r="S3" s="984">
        <f>[10]Critérium!T3</f>
        <v>0</v>
      </c>
      <c r="T3" s="984">
        <f>[10]Critérium!U3</f>
        <v>0</v>
      </c>
      <c r="U3" s="987">
        <f>[10]Critérium!V3</f>
        <v>0</v>
      </c>
    </row>
    <row r="4" spans="1:26" ht="15" customHeight="1">
      <c r="A4" s="1282">
        <f>[10]Critérium!B4</f>
        <v>0</v>
      </c>
      <c r="B4" s="1279">
        <f>[10]Critérium!C4</f>
        <v>41923</v>
      </c>
      <c r="C4" s="1280">
        <f>[10]Critérium!D4</f>
        <v>0</v>
      </c>
      <c r="D4" s="1279">
        <f>[10]Critérium!E4</f>
        <v>41924</v>
      </c>
      <c r="E4" s="1280">
        <f>[10]Critérium!F4</f>
        <v>0</v>
      </c>
      <c r="F4" s="1279">
        <f>[10]Critérium!G4</f>
        <v>41972</v>
      </c>
      <c r="G4" s="1280">
        <f>[10]Critérium!H4</f>
        <v>0</v>
      </c>
      <c r="H4" s="1279">
        <f>[10]Critérium!I4</f>
        <v>41973</v>
      </c>
      <c r="I4" s="1280">
        <f>[10]Critérium!J4</f>
        <v>0</v>
      </c>
      <c r="J4" s="1279">
        <f>[10]Critérium!K4</f>
        <v>42028</v>
      </c>
      <c r="K4" s="1280">
        <f>[10]Critérium!L4</f>
        <v>0</v>
      </c>
      <c r="L4" s="1279">
        <f>[10]Critérium!M4</f>
        <v>42029</v>
      </c>
      <c r="M4" s="1280">
        <f>[10]Critérium!N4</f>
        <v>0</v>
      </c>
      <c r="N4" s="1279">
        <f>[10]Critérium!O4</f>
        <v>42084</v>
      </c>
      <c r="O4" s="1280">
        <f>[10]Critérium!P4</f>
        <v>0</v>
      </c>
      <c r="P4" s="1279">
        <f>[10]Critérium!Q4</f>
        <v>42085</v>
      </c>
      <c r="Q4" s="1281">
        <f>[10]Critérium!R4</f>
        <v>0</v>
      </c>
      <c r="R4" s="988">
        <f>[10]Critérium!S4</f>
        <v>0</v>
      </c>
      <c r="S4" s="989" t="str">
        <f>[10]Critérium!T4</f>
        <v>58%</v>
      </c>
      <c r="T4" s="990" t="str">
        <f>[10]Critérium!U4</f>
        <v>42%</v>
      </c>
      <c r="U4" s="991">
        <f>[10]Critérium!V4</f>
        <v>0</v>
      </c>
    </row>
    <row r="5" spans="1:26" ht="15" customHeight="1">
      <c r="A5" s="992">
        <f>[10]Critérium!B5</f>
        <v>0</v>
      </c>
      <c r="B5" s="993" t="str">
        <f>[10]Critérium!C5</f>
        <v>J 1</v>
      </c>
      <c r="C5" s="994" t="str">
        <f>[10]Critérium!D5</f>
        <v>V</v>
      </c>
      <c r="D5" s="995" t="str">
        <f>[10]Critérium!E5</f>
        <v>D</v>
      </c>
      <c r="E5" s="994" t="str">
        <f>[10]Critérium!F5</f>
        <v>Clast</v>
      </c>
      <c r="F5" s="993" t="str">
        <f>[10]Critérium!G5</f>
        <v>J 2</v>
      </c>
      <c r="G5" s="994" t="str">
        <f>[10]Critérium!H5</f>
        <v>V</v>
      </c>
      <c r="H5" s="995" t="str">
        <f>[10]Critérium!I5</f>
        <v>D</v>
      </c>
      <c r="I5" s="994" t="str">
        <f>[10]Critérium!J5</f>
        <v>Clast</v>
      </c>
      <c r="J5" s="993" t="str">
        <f>[10]Critérium!K5</f>
        <v>J 3</v>
      </c>
      <c r="K5" s="994" t="str">
        <f>[10]Critérium!L5</f>
        <v>V</v>
      </c>
      <c r="L5" s="995" t="str">
        <f>[10]Critérium!M5</f>
        <v>D</v>
      </c>
      <c r="M5" s="994" t="str">
        <f>[10]Critérium!N5</f>
        <v>Clast</v>
      </c>
      <c r="N5" s="993" t="str">
        <f>[10]Critérium!O5</f>
        <v>J 4</v>
      </c>
      <c r="O5" s="994" t="str">
        <f>[10]Critérium!P5</f>
        <v>V</v>
      </c>
      <c r="P5" s="995" t="str">
        <f>[10]Critérium!Q5</f>
        <v>D</v>
      </c>
      <c r="Q5" s="996" t="str">
        <f>[10]Critérium!R5</f>
        <v>Clast</v>
      </c>
      <c r="R5" s="997">
        <f>[10]Critérium!S5</f>
        <v>0</v>
      </c>
      <c r="S5" s="994" t="str">
        <f>[10]Critérium!T5</f>
        <v>Vict</v>
      </c>
      <c r="T5" s="995" t="str">
        <f>[10]Critérium!U5</f>
        <v>Déf</v>
      </c>
      <c r="U5" s="998">
        <f>[10]Critérium!V5</f>
        <v>0</v>
      </c>
    </row>
    <row r="6" spans="1:26" ht="15" customHeight="1">
      <c r="A6" s="999" t="str">
        <f>[10]Critérium!B6</f>
        <v>Hilton Franck</v>
      </c>
      <c r="B6" s="1000" t="str">
        <f>[10]Critérium!C6</f>
        <v>D2</v>
      </c>
      <c r="C6" s="1001">
        <f>[10]Critérium!D6</f>
        <v>6</v>
      </c>
      <c r="D6" s="1002">
        <f>[10]Critérium!E6</f>
        <v>1</v>
      </c>
      <c r="E6" s="1003" t="str">
        <f>[10]Critérium!F6</f>
        <v>1er</v>
      </c>
      <c r="F6" s="1000" t="str">
        <f>[10]Critérium!G6</f>
        <v>D1</v>
      </c>
      <c r="G6" s="1001">
        <f>[10]Critérium!H6</f>
        <v>5</v>
      </c>
      <c r="H6" s="1002">
        <f>[10]Critérium!I6</f>
        <v>2</v>
      </c>
      <c r="I6" s="1003" t="str">
        <f>[10]Critérium!J6</f>
        <v>2ème</v>
      </c>
      <c r="J6" s="1000" t="str">
        <f>[10]Critérium!K6</f>
        <v>Rég</v>
      </c>
      <c r="K6" s="1001">
        <f>[10]Critérium!L6</f>
        <v>1</v>
      </c>
      <c r="L6" s="1002">
        <f>[10]Critérium!M6</f>
        <v>7</v>
      </c>
      <c r="M6" s="1003" t="str">
        <f>[10]Critérium!N6</f>
        <v>20ème</v>
      </c>
      <c r="N6" s="1000" t="str">
        <f>[10]Critérium!O6</f>
        <v>D1</v>
      </c>
      <c r="O6" s="1001">
        <f>[10]Critérium!P6</f>
        <v>5</v>
      </c>
      <c r="P6" s="1002">
        <f>[10]Critérium!Q6</f>
        <v>1</v>
      </c>
      <c r="Q6" s="1004" t="str">
        <f>[10]Critérium!R6</f>
        <v>3ème</v>
      </c>
      <c r="R6" s="999" t="str">
        <f t="shared" ref="R6:R15" si="0">A6</f>
        <v>Hilton Franck</v>
      </c>
      <c r="S6" s="1005">
        <f>[10]Critérium!T6</f>
        <v>17</v>
      </c>
      <c r="T6" s="1006">
        <f>[10]Critérium!U6</f>
        <v>11</v>
      </c>
      <c r="U6" s="1007">
        <f>[10]Critérium!V6</f>
        <v>28</v>
      </c>
    </row>
    <row r="7" spans="1:26" ht="15" customHeight="1">
      <c r="A7" s="999" t="str">
        <f>[10]Critérium!B7</f>
        <v>Brient Jean-François</v>
      </c>
      <c r="B7" s="1008" t="str">
        <f>[10]Critérium!C7</f>
        <v>Rég</v>
      </c>
      <c r="C7" s="1009">
        <f>[10]Critérium!D7</f>
        <v>8</v>
      </c>
      <c r="D7" s="1010">
        <f>[10]Critérium!E7</f>
        <v>0</v>
      </c>
      <c r="E7" s="1011" t="str">
        <f>[10]Critérium!F7</f>
        <v>1er</v>
      </c>
      <c r="F7" s="1008" t="str">
        <f>[10]Critérium!G7</f>
        <v>Nat2</v>
      </c>
      <c r="G7" s="1009">
        <f>[10]Critérium!H7</f>
        <v>5</v>
      </c>
      <c r="H7" s="1010">
        <f>[10]Critérium!I7</f>
        <v>4</v>
      </c>
      <c r="I7" s="1011" t="str">
        <f>[10]Critérium!J7</f>
        <v>24ème</v>
      </c>
      <c r="J7" s="1008">
        <f>[10]Critérium!K7</f>
        <v>0</v>
      </c>
      <c r="K7" s="1009">
        <f>[10]Critérium!L7</f>
        <v>0</v>
      </c>
      <c r="L7" s="1010">
        <f>[10]Critérium!M7</f>
        <v>0</v>
      </c>
      <c r="M7" s="1011" t="str">
        <f>[10]Critérium!N7</f>
        <v>Abs</v>
      </c>
      <c r="N7" s="1008">
        <f>[10]Critérium!O7</f>
        <v>0</v>
      </c>
      <c r="O7" s="1009">
        <f>[10]Critérium!P7</f>
        <v>0</v>
      </c>
      <c r="P7" s="1010">
        <f>[10]Critérium!Q7</f>
        <v>0</v>
      </c>
      <c r="Q7" s="1012" t="str">
        <f>[10]Critérium!R7</f>
        <v>Abs</v>
      </c>
      <c r="R7" s="999" t="str">
        <f t="shared" si="0"/>
        <v>Brient Jean-François</v>
      </c>
      <c r="S7" s="1005">
        <f>[10]Critérium!T7</f>
        <v>13</v>
      </c>
      <c r="T7" s="1006">
        <f>[10]Critérium!U7</f>
        <v>4</v>
      </c>
      <c r="U7" s="1007">
        <f>[10]Critérium!V7</f>
        <v>17</v>
      </c>
    </row>
    <row r="8" spans="1:26" ht="15" customHeight="1">
      <c r="A8" s="999" t="str">
        <f>[10]Critérium!B8</f>
        <v>Flégeau Matthieu</v>
      </c>
      <c r="B8" s="1008" t="str">
        <f>[10]Critérium!C8</f>
        <v>D1</v>
      </c>
      <c r="C8" s="1009">
        <f>[10]Critérium!D8</f>
        <v>6</v>
      </c>
      <c r="D8" s="1010">
        <f>[10]Critérium!E8</f>
        <v>0</v>
      </c>
      <c r="E8" s="1011" t="str">
        <f>[10]Critérium!F8</f>
        <v>1er</v>
      </c>
      <c r="F8" s="1008" t="str">
        <f>[10]Critérium!G8</f>
        <v>Rég</v>
      </c>
      <c r="G8" s="1009">
        <f>[10]Critérium!H8</f>
        <v>5</v>
      </c>
      <c r="H8" s="1010">
        <f>[10]Critérium!I8</f>
        <v>3</v>
      </c>
      <c r="I8" s="1011" t="str">
        <f>[10]Critérium!J8</f>
        <v>10ème</v>
      </c>
      <c r="J8" s="1008" t="str">
        <f>[10]Critérium!K8</f>
        <v>Rég</v>
      </c>
      <c r="K8" s="1009">
        <f>[10]Critérium!L8</f>
        <v>6</v>
      </c>
      <c r="L8" s="1010">
        <f>[10]Critérium!M8</f>
        <v>2</v>
      </c>
      <c r="M8" s="1011" t="str">
        <f>[10]Critérium!N8</f>
        <v>9ème</v>
      </c>
      <c r="N8" s="1008">
        <f>[10]Critérium!O8</f>
        <v>0</v>
      </c>
      <c r="O8" s="1009">
        <f>[10]Critérium!P8</f>
        <v>0</v>
      </c>
      <c r="P8" s="1010">
        <f>[10]Critérium!Q8</f>
        <v>0</v>
      </c>
      <c r="Q8" s="1012" t="str">
        <f>[10]Critérium!R8</f>
        <v>Abs</v>
      </c>
      <c r="R8" s="999" t="str">
        <f t="shared" si="0"/>
        <v>Flégeau Matthieu</v>
      </c>
      <c r="S8" s="1005">
        <f>[10]Critérium!T8</f>
        <v>17</v>
      </c>
      <c r="T8" s="1006">
        <f>[10]Critérium!U8</f>
        <v>5</v>
      </c>
      <c r="U8" s="1007">
        <f>[10]Critérium!V8</f>
        <v>22</v>
      </c>
    </row>
    <row r="9" spans="1:26" s="1" customFormat="1" ht="15" customHeight="1">
      <c r="A9" s="999" t="str">
        <f>[10]Critérium!B9</f>
        <v>Cojean Youen</v>
      </c>
      <c r="B9" s="1008" t="str">
        <f>[10]Critérium!C9</f>
        <v>D1</v>
      </c>
      <c r="C9" s="1009">
        <f>[10]Critérium!D9</f>
        <v>0</v>
      </c>
      <c r="D9" s="1010">
        <f>[10]Critérium!E9</f>
        <v>6</v>
      </c>
      <c r="E9" s="1011" t="str">
        <f>[10]Critérium!F9</f>
        <v>16ème</v>
      </c>
      <c r="F9" s="1008" t="str">
        <f>[10]Critérium!G9</f>
        <v>D2</v>
      </c>
      <c r="G9" s="1009">
        <f>[10]Critérium!H9</f>
        <v>5</v>
      </c>
      <c r="H9" s="1010">
        <f>[10]Critérium!I9</f>
        <v>1</v>
      </c>
      <c r="I9" s="1011" t="str">
        <f>[10]Critérium!J9</f>
        <v>2ème</v>
      </c>
      <c r="J9" s="1008" t="str">
        <f>[10]Critérium!K9</f>
        <v>D1</v>
      </c>
      <c r="K9" s="1009">
        <f>[10]Critérium!L9</f>
        <v>2</v>
      </c>
      <c r="L9" s="1010">
        <f>[10]Critérium!M9</f>
        <v>4</v>
      </c>
      <c r="M9" s="1011" t="str">
        <f>[10]Critérium!N9</f>
        <v>14ème</v>
      </c>
      <c r="N9" s="1008" t="str">
        <f>[10]Critérium!O9</f>
        <v>D2</v>
      </c>
      <c r="O9" s="1009">
        <f>[10]Critérium!P9</f>
        <v>5</v>
      </c>
      <c r="P9" s="1010">
        <f>[10]Critérium!Q9</f>
        <v>1</v>
      </c>
      <c r="Q9" s="1012" t="str">
        <f>[10]Critérium!R9</f>
        <v>2ème</v>
      </c>
      <c r="R9" s="999" t="str">
        <f t="shared" si="0"/>
        <v>Cojean Youen</v>
      </c>
      <c r="S9" s="1005">
        <f>[10]Critérium!T9</f>
        <v>12</v>
      </c>
      <c r="T9" s="1006">
        <f>[10]Critérium!U9</f>
        <v>12</v>
      </c>
      <c r="U9" s="1007">
        <f>[10]Critérium!V9</f>
        <v>24</v>
      </c>
      <c r="V9" s="72"/>
      <c r="W9" s="72"/>
      <c r="X9" s="72"/>
      <c r="Y9" s="72"/>
      <c r="Z9" s="72"/>
    </row>
    <row r="10" spans="1:26" s="1" customFormat="1" ht="15" customHeight="1">
      <c r="A10" s="999" t="str">
        <f>[10]Critérium!B10</f>
        <v>Lorho Mathieu</v>
      </c>
      <c r="B10" s="1008" t="str">
        <f>[10]Critérium!C10</f>
        <v>D3</v>
      </c>
      <c r="C10" s="1009">
        <f>[10]Critérium!D10</f>
        <v>5</v>
      </c>
      <c r="D10" s="1010">
        <f>[10]Critérium!E10</f>
        <v>1</v>
      </c>
      <c r="E10" s="1011" t="str">
        <f>[10]Critérium!F10</f>
        <v>2ème</v>
      </c>
      <c r="F10" s="1008" t="str">
        <f>[10]Critérium!G10</f>
        <v>D2</v>
      </c>
      <c r="G10" s="1009">
        <f>[10]Critérium!H10</f>
        <v>4</v>
      </c>
      <c r="H10" s="1010">
        <f>[10]Critérium!I10</f>
        <v>3</v>
      </c>
      <c r="I10" s="1011" t="str">
        <f>[10]Critérium!J10</f>
        <v>9ème</v>
      </c>
      <c r="J10" s="1008" t="str">
        <f>[10]Critérium!K10</f>
        <v>D2</v>
      </c>
      <c r="K10" s="1009">
        <f>[10]Critérium!L10</f>
        <v>3</v>
      </c>
      <c r="L10" s="1010">
        <f>[10]Critérium!M10</f>
        <v>3</v>
      </c>
      <c r="M10" s="1011" t="str">
        <f>[10]Critérium!N10</f>
        <v>4ème</v>
      </c>
      <c r="N10" s="1008" t="str">
        <f>[10]Critérium!O10</f>
        <v>D1</v>
      </c>
      <c r="O10" s="1009">
        <f>[10]Critérium!P10</f>
        <v>0</v>
      </c>
      <c r="P10" s="1010">
        <f>[10]Critérium!Q10</f>
        <v>6</v>
      </c>
      <c r="Q10" s="1012" t="str">
        <f>[10]Critérium!R10</f>
        <v>16ème</v>
      </c>
      <c r="R10" s="999" t="str">
        <f t="shared" si="0"/>
        <v>Lorho Mathieu</v>
      </c>
      <c r="S10" s="1005">
        <f>[10]Critérium!T10</f>
        <v>12</v>
      </c>
      <c r="T10" s="1006">
        <f>[10]Critérium!U10</f>
        <v>13</v>
      </c>
      <c r="U10" s="1007">
        <f>[10]Critérium!V10</f>
        <v>25</v>
      </c>
      <c r="V10" s="72"/>
      <c r="W10" s="72"/>
      <c r="X10" s="72"/>
      <c r="Y10" s="72"/>
      <c r="Z10" s="72"/>
    </row>
    <row r="11" spans="1:26" s="1" customFormat="1" ht="15" customHeight="1">
      <c r="A11" s="999" t="str">
        <f>[10]Critérium!B11</f>
        <v>Allano Antoine</v>
      </c>
      <c r="B11" s="1008" t="str">
        <f>[10]Critérium!C11</f>
        <v>D3</v>
      </c>
      <c r="C11" s="1009">
        <f>[10]Critérium!D11</f>
        <v>3</v>
      </c>
      <c r="D11" s="1010">
        <f>[10]Critérium!E11</f>
        <v>4</v>
      </c>
      <c r="E11" s="1011" t="str">
        <f>[10]Critérium!F11</f>
        <v>4ème</v>
      </c>
      <c r="F11" s="1008" t="str">
        <f>[10]Critérium!G11</f>
        <v>D3</v>
      </c>
      <c r="G11" s="1009">
        <f>[10]Critérium!H11</f>
        <v>4</v>
      </c>
      <c r="H11" s="1010">
        <f>[10]Critérium!I11</f>
        <v>1</v>
      </c>
      <c r="I11" s="1011" t="str">
        <f>[10]Critérium!J11</f>
        <v>2ème</v>
      </c>
      <c r="J11" s="1008" t="str">
        <f>[10]Critérium!K11</f>
        <v>D2</v>
      </c>
      <c r="K11" s="1009">
        <f>[10]Critérium!L11</f>
        <v>2</v>
      </c>
      <c r="L11" s="1010">
        <f>[10]Critérium!M11</f>
        <v>4</v>
      </c>
      <c r="M11" s="1011" t="str">
        <f>[10]Critérium!N11</f>
        <v>11ème</v>
      </c>
      <c r="N11" s="1008" t="str">
        <f>[10]Critérium!O11</f>
        <v>D2</v>
      </c>
      <c r="O11" s="1009">
        <f>[10]Critérium!P11</f>
        <v>2</v>
      </c>
      <c r="P11" s="1010">
        <f>[10]Critérium!Q11</f>
        <v>4</v>
      </c>
      <c r="Q11" s="1012" t="str">
        <f>[10]Critérium!R11</f>
        <v>13ème</v>
      </c>
      <c r="R11" s="999" t="str">
        <f t="shared" si="0"/>
        <v>Allano Antoine</v>
      </c>
      <c r="S11" s="1005">
        <f>[10]Critérium!T11</f>
        <v>11</v>
      </c>
      <c r="T11" s="1006">
        <f>[10]Critérium!U11</f>
        <v>13</v>
      </c>
      <c r="U11" s="1007">
        <f>[10]Critérium!V11</f>
        <v>24</v>
      </c>
      <c r="V11" s="72"/>
      <c r="W11" s="72"/>
      <c r="X11" s="72"/>
      <c r="Y11" s="72"/>
      <c r="Z11" s="72"/>
    </row>
    <row r="12" spans="1:26" s="1" customFormat="1" ht="15" customHeight="1">
      <c r="A12" s="999" t="str">
        <f>[10]Critérium!B12</f>
        <v>Morin Léa</v>
      </c>
      <c r="B12" s="1008" t="str">
        <f>[10]Critérium!C12</f>
        <v>Rég</v>
      </c>
      <c r="C12" s="1009">
        <f>[10]Critérium!D12</f>
        <v>2</v>
      </c>
      <c r="D12" s="1010">
        <f>[10]Critérium!E12</f>
        <v>4</v>
      </c>
      <c r="E12" s="1011" t="str">
        <f>[10]Critérium!F12</f>
        <v>11ème</v>
      </c>
      <c r="F12" s="1008" t="str">
        <f>[10]Critérium!G12</f>
        <v>Rég</v>
      </c>
      <c r="G12" s="1009">
        <f>[10]Critérium!H12</f>
        <v>2</v>
      </c>
      <c r="H12" s="1010">
        <f>[10]Critérium!I12</f>
        <v>4</v>
      </c>
      <c r="I12" s="1011" t="str">
        <f>[10]Critérium!J12</f>
        <v>8ème</v>
      </c>
      <c r="J12" s="1008" t="str">
        <f>[10]Critérium!K12</f>
        <v>Rég</v>
      </c>
      <c r="K12" s="1009">
        <f>[10]Critérium!L12</f>
        <v>2</v>
      </c>
      <c r="L12" s="1010">
        <f>[10]Critérium!M12</f>
        <v>5</v>
      </c>
      <c r="M12" s="1011" t="str">
        <f>[10]Critérium!N12</f>
        <v>14ème</v>
      </c>
      <c r="N12" s="1008" t="str">
        <f>[10]Critérium!O12</f>
        <v>Rég</v>
      </c>
      <c r="O12" s="1009">
        <f>[10]Critérium!P12</f>
        <v>3</v>
      </c>
      <c r="P12" s="1010">
        <f>[10]Critérium!Q12</f>
        <v>3</v>
      </c>
      <c r="Q12" s="1012" t="str">
        <f>[10]Critérium!R12</f>
        <v>5ème</v>
      </c>
      <c r="R12" s="999" t="str">
        <f t="shared" si="0"/>
        <v>Morin Léa</v>
      </c>
      <c r="S12" s="1005">
        <f>[10]Critérium!T12</f>
        <v>9</v>
      </c>
      <c r="T12" s="1006">
        <f>[10]Critérium!U12</f>
        <v>16</v>
      </c>
      <c r="U12" s="1007">
        <f>[10]Critérium!V12</f>
        <v>25</v>
      </c>
      <c r="V12" s="72"/>
      <c r="W12" s="72"/>
      <c r="X12" s="72"/>
      <c r="Y12" s="72"/>
      <c r="Z12" s="72"/>
    </row>
    <row r="13" spans="1:26" s="1" customFormat="1" ht="15" customHeight="1">
      <c r="A13" s="999" t="str">
        <f>[10]Critérium!B13</f>
        <v>Morin Quentin</v>
      </c>
      <c r="B13" s="1008" t="str">
        <f>[10]Critérium!C13</f>
        <v>D1</v>
      </c>
      <c r="C13" s="1009">
        <f>[10]Critérium!D13</f>
        <v>4</v>
      </c>
      <c r="D13" s="1010">
        <f>[10]Critérium!E13</f>
        <v>2</v>
      </c>
      <c r="E13" s="1011" t="str">
        <f>[10]Critérium!F13</f>
        <v>7ème</v>
      </c>
      <c r="F13" s="1008" t="str">
        <f>[10]Critérium!G13</f>
        <v>D1</v>
      </c>
      <c r="G13" s="1009">
        <f>[10]Critérium!H13</f>
        <v>5</v>
      </c>
      <c r="H13" s="1010">
        <f>[10]Critérium!I13</f>
        <v>2</v>
      </c>
      <c r="I13" s="1011" t="str">
        <f>[10]Critérium!J13</f>
        <v>3ème</v>
      </c>
      <c r="J13" s="1008" t="str">
        <f>[10]Critérium!K13</f>
        <v>D1</v>
      </c>
      <c r="K13" s="1009">
        <f>[10]Critérium!L13</f>
        <v>4</v>
      </c>
      <c r="L13" s="1010">
        <f>[10]Critérium!M13</f>
        <v>2</v>
      </c>
      <c r="M13" s="1011" t="str">
        <f>[10]Critérium!N13</f>
        <v>4ème</v>
      </c>
      <c r="N13" s="1008" t="str">
        <f>[10]Critérium!O13</f>
        <v>D1</v>
      </c>
      <c r="O13" s="1009">
        <f>[10]Critérium!P13</f>
        <v>4</v>
      </c>
      <c r="P13" s="1010">
        <f>[10]Critérium!Q13</f>
        <v>2</v>
      </c>
      <c r="Q13" s="1012" t="str">
        <f>[10]Critérium!R13</f>
        <v>7ème</v>
      </c>
      <c r="R13" s="999" t="str">
        <f t="shared" si="0"/>
        <v>Morin Quentin</v>
      </c>
      <c r="S13" s="1005">
        <f>[10]Critérium!T13</f>
        <v>17</v>
      </c>
      <c r="T13" s="1006">
        <f>[10]Critérium!U13</f>
        <v>8</v>
      </c>
      <c r="U13" s="1007">
        <f>[10]Critérium!V13</f>
        <v>25</v>
      </c>
      <c r="V13" s="72"/>
      <c r="W13" s="72"/>
      <c r="X13" s="72"/>
      <c r="Y13" s="72"/>
      <c r="Z13" s="72"/>
    </row>
    <row r="14" spans="1:26" s="1" customFormat="1" ht="15" customHeight="1">
      <c r="A14" s="999" t="str">
        <f>[10]Critérium!B14</f>
        <v>Sail Rémy</v>
      </c>
      <c r="B14" s="1008" t="str">
        <f>[10]Critérium!C14</f>
        <v>D1</v>
      </c>
      <c r="C14" s="1009">
        <f>[10]Critérium!D14</f>
        <v>5</v>
      </c>
      <c r="D14" s="1010">
        <f>[10]Critérium!E14</f>
        <v>2</v>
      </c>
      <c r="E14" s="1011" t="str">
        <f>[10]Critérium!F14</f>
        <v>9ème</v>
      </c>
      <c r="F14" s="1008" t="str">
        <f>[10]Critérium!G14</f>
        <v>D1</v>
      </c>
      <c r="G14" s="1009">
        <f>[10]Critérium!H14</f>
        <v>4</v>
      </c>
      <c r="H14" s="1010">
        <f>[10]Critérium!I14</f>
        <v>3</v>
      </c>
      <c r="I14" s="1011" t="str">
        <f>[10]Critérium!J14</f>
        <v>7ème</v>
      </c>
      <c r="J14" s="1008" t="str">
        <f>[10]Critérium!K14</f>
        <v>D1</v>
      </c>
      <c r="K14" s="1009">
        <f>[10]Critérium!L14</f>
        <v>4</v>
      </c>
      <c r="L14" s="1010">
        <f>[10]Critérium!M14</f>
        <v>3</v>
      </c>
      <c r="M14" s="1011" t="str">
        <f>[10]Critérium!N14</f>
        <v>10ème</v>
      </c>
      <c r="N14" s="1008">
        <f>[10]Critérium!O14</f>
        <v>0</v>
      </c>
      <c r="O14" s="1009">
        <f>[10]Critérium!P14</f>
        <v>0</v>
      </c>
      <c r="P14" s="1010">
        <f>[10]Critérium!Q14</f>
        <v>0</v>
      </c>
      <c r="Q14" s="1012" t="str">
        <f>[10]Critérium!R14</f>
        <v>Abs</v>
      </c>
      <c r="R14" s="999" t="str">
        <f t="shared" si="0"/>
        <v>Sail Rémy</v>
      </c>
      <c r="S14" s="1005">
        <f>[10]Critérium!T14</f>
        <v>13</v>
      </c>
      <c r="T14" s="1006">
        <f>[10]Critérium!U14</f>
        <v>8</v>
      </c>
      <c r="U14" s="1007">
        <f>[10]Critérium!V14</f>
        <v>21</v>
      </c>
      <c r="V14" s="72"/>
      <c r="W14" s="72"/>
      <c r="X14" s="72"/>
      <c r="Y14" s="72"/>
      <c r="Z14" s="72"/>
    </row>
    <row r="15" spans="1:26" s="1" customFormat="1" ht="15" customHeight="1">
      <c r="A15" s="1139" t="str">
        <f>[10]Critérium!B15</f>
        <v>Zaragoza Quentin</v>
      </c>
      <c r="B15" s="1140" t="str">
        <f>[10]Critérium!C15</f>
        <v>D1</v>
      </c>
      <c r="C15" s="1141">
        <f>[10]Critérium!D15</f>
        <v>4</v>
      </c>
      <c r="D15" s="1142">
        <f>[10]Critérium!E15</f>
        <v>3</v>
      </c>
      <c r="E15" s="1075" t="str">
        <f>[10]Critérium!F15</f>
        <v>6ème</v>
      </c>
      <c r="F15" s="1076" t="str">
        <f>[10]Critérium!G15</f>
        <v>D1</v>
      </c>
      <c r="G15" s="1082">
        <f>[10]Critérium!H15</f>
        <v>3</v>
      </c>
      <c r="H15" s="1081">
        <f>[10]Critérium!I15</f>
        <v>4</v>
      </c>
      <c r="I15" s="1075" t="str">
        <f>[10]Critérium!J15</f>
        <v>8ème</v>
      </c>
      <c r="J15" s="1076" t="str">
        <f>[10]Critérium!K15</f>
        <v>D1</v>
      </c>
      <c r="K15" s="1082">
        <f>[10]Critérium!L15</f>
        <v>5</v>
      </c>
      <c r="L15" s="1142">
        <f>[10]Critérium!M15</f>
        <v>2</v>
      </c>
      <c r="M15" s="1143" t="str">
        <f>[10]Critérium!N15</f>
        <v>3ème</v>
      </c>
      <c r="N15" s="1140" t="str">
        <f>[10]Critérium!O15</f>
        <v>D1</v>
      </c>
      <c r="O15" s="1141">
        <f>[10]Critérium!P15</f>
        <v>5</v>
      </c>
      <c r="P15" s="1142">
        <f>[10]Critérium!Q15</f>
        <v>1</v>
      </c>
      <c r="Q15" s="1144" t="str">
        <f>[10]Critérium!R15</f>
        <v>5ème</v>
      </c>
      <c r="R15" s="1139" t="str">
        <f t="shared" si="0"/>
        <v>Zaragoza Quentin</v>
      </c>
      <c r="S15" s="1145">
        <f>[10]Critérium!T15</f>
        <v>17</v>
      </c>
      <c r="T15" s="1146">
        <f>[10]Critérium!U15</f>
        <v>10</v>
      </c>
      <c r="U15" s="1147">
        <f>[10]Critérium!V15</f>
        <v>27</v>
      </c>
      <c r="V15" s="72"/>
      <c r="W15" s="72"/>
      <c r="X15" s="72"/>
      <c r="Y15" s="72"/>
      <c r="Z15" s="72"/>
    </row>
    <row r="16" spans="1:26" ht="12.75" customHeight="1">
      <c r="A16" s="71"/>
      <c r="B16" s="73" t="s">
        <v>15</v>
      </c>
      <c r="C16" s="74" t="s">
        <v>16</v>
      </c>
      <c r="D16" s="129" t="s">
        <v>17</v>
      </c>
      <c r="E16" s="1153"/>
      <c r="F16" s="1153"/>
      <c r="G16" s="1153"/>
      <c r="H16" s="1153"/>
      <c r="I16" s="1154"/>
      <c r="J16" s="1155"/>
      <c r="K16" s="152"/>
      <c r="L16" s="86"/>
      <c r="M16" s="86"/>
      <c r="N16" s="86"/>
      <c r="O16" s="73"/>
      <c r="P16" s="74"/>
      <c r="Q16" s="75">
        <f>[12]Critérium!AF1</f>
        <v>0</v>
      </c>
      <c r="R16" s="76">
        <f>[12]Critérium!AG1</f>
        <v>0</v>
      </c>
      <c r="S16" s="77" t="str">
        <f>[12]Critérium!AH1</f>
        <v>Vict</v>
      </c>
      <c r="T16" s="78" t="str">
        <f>[12]Critérium!AI1</f>
        <v>Déf</v>
      </c>
      <c r="Z16"/>
    </row>
    <row r="17" spans="1:26" ht="15.75" customHeight="1">
      <c r="A17" s="1013" t="str">
        <f>[10]Critérium!Y9</f>
        <v>Champt Bretagne</v>
      </c>
      <c r="B17" s="1014">
        <f>[10]Critérium!Z9</f>
        <v>42162</v>
      </c>
      <c r="C17" s="1015">
        <f>[10]Critérium!AA9</f>
        <v>0</v>
      </c>
      <c r="D17" s="1067">
        <f>[10]Critérium!AB9</f>
        <v>0</v>
      </c>
      <c r="E17" s="1152">
        <f>[12]Critérium!X2</f>
        <v>0</v>
      </c>
      <c r="F17" s="561"/>
      <c r="G17" s="1077" t="s">
        <v>653</v>
      </c>
      <c r="H17" s="1077"/>
      <c r="I17" s="1077"/>
      <c r="J17" s="1077"/>
      <c r="K17" s="1051"/>
      <c r="L17" s="1028" t="str">
        <f>[10]cal.Ph1!$J$40</f>
        <v>Final/clast/56</v>
      </c>
      <c r="O17" s="1014">
        <f>[10]cal.Ph1!$K$40</f>
        <v>42064</v>
      </c>
      <c r="P17" s="1029"/>
      <c r="Q17" s="1096"/>
      <c r="R17" s="1028" t="str">
        <f>[10]Critérium!AS17</f>
        <v>Championnat 56</v>
      </c>
      <c r="S17" s="1014">
        <f>[10]Critérium!AT17</f>
        <v>42119</v>
      </c>
      <c r="T17" s="1029">
        <f>[10]Critérium!AU17</f>
        <v>0</v>
      </c>
      <c r="U17" s="1030">
        <f>[10]Critérium!AV17</f>
        <v>0</v>
      </c>
      <c r="Z17"/>
    </row>
    <row r="18" spans="1:26" ht="15" customHeight="1">
      <c r="A18" s="1016" t="str">
        <f>[10]Critérium!Y10</f>
        <v>Morin Léa</v>
      </c>
      <c r="B18" s="1017">
        <f>[10]Critérium!Z10</f>
        <v>0</v>
      </c>
      <c r="C18" s="1018">
        <f>[10]Critérium!AA10</f>
        <v>2</v>
      </c>
      <c r="D18" s="1068">
        <f>[10]Critérium!AB10</f>
        <v>0</v>
      </c>
      <c r="E18" s="1071"/>
      <c r="F18" s="1053"/>
      <c r="G18" s="561"/>
      <c r="H18" s="1043" t="s">
        <v>654</v>
      </c>
      <c r="I18" s="1044"/>
      <c r="J18" s="1043" t="s">
        <v>655</v>
      </c>
      <c r="K18" s="1044"/>
      <c r="L18" s="1016" t="s">
        <v>650</v>
      </c>
      <c r="M18" s="1016"/>
      <c r="N18" s="1016"/>
      <c r="O18" s="1034">
        <v>4</v>
      </c>
      <c r="P18" s="1035">
        <v>1</v>
      </c>
      <c r="Q18" s="1097" t="s">
        <v>161</v>
      </c>
      <c r="R18" s="1016" t="str">
        <f>[10]Critérium!AS18</f>
        <v>Rochefort Reginald</v>
      </c>
      <c r="S18" s="1031">
        <f>[10]Critérium!AT18</f>
        <v>3</v>
      </c>
      <c r="T18" s="1032">
        <f>[10]Critérium!AU18</f>
        <v>1</v>
      </c>
      <c r="U18" s="1033" t="str">
        <f>[10]Critérium!AV18</f>
        <v>1/16</v>
      </c>
      <c r="Z18"/>
    </row>
    <row r="19" spans="1:26" ht="15.75" customHeight="1">
      <c r="A19" s="1016">
        <f>[10]Critérium!Y11</f>
        <v>0</v>
      </c>
      <c r="B19" s="1019">
        <f>[10]Critérium!Z11</f>
        <v>0</v>
      </c>
      <c r="C19" s="1020">
        <f>[10]Critérium!AA11</f>
        <v>0</v>
      </c>
      <c r="D19" s="1069">
        <f>[10]Critérium!AB11</f>
        <v>0</v>
      </c>
      <c r="E19" s="1072">
        <f>[12]Critérium!X4</f>
        <v>0</v>
      </c>
      <c r="F19" s="561"/>
      <c r="G19" s="561"/>
      <c r="H19" s="1045" t="s">
        <v>15</v>
      </c>
      <c r="I19" s="1046" t="s">
        <v>16</v>
      </c>
      <c r="J19" s="1045" t="s">
        <v>15</v>
      </c>
      <c r="K19" s="1046" t="s">
        <v>16</v>
      </c>
      <c r="L19" s="1016" t="s">
        <v>651</v>
      </c>
      <c r="M19" s="1016"/>
      <c r="N19" s="1016"/>
      <c r="O19" s="1034">
        <v>4</v>
      </c>
      <c r="P19" s="1035">
        <v>3</v>
      </c>
      <c r="Q19" s="1098" t="s">
        <v>649</v>
      </c>
      <c r="R19" s="1016" t="str">
        <f>[10]Critérium!AS19</f>
        <v>Vilain Benjamin</v>
      </c>
      <c r="S19" s="1031">
        <f>[10]Critérium!AT19</f>
        <v>0</v>
      </c>
      <c r="T19" s="1032">
        <f>[10]Critérium!AU19</f>
        <v>2</v>
      </c>
      <c r="U19" s="1033" t="str">
        <f>[10]Critérium!AV19</f>
        <v>poules</v>
      </c>
      <c r="Z19"/>
    </row>
    <row r="20" spans="1:26" ht="15.75" customHeight="1">
      <c r="A20" s="1013" t="str">
        <f>[10]Critérium!Y14</f>
        <v>Open Cadet/Junior</v>
      </c>
      <c r="B20" s="1019">
        <f>[10]Critérium!Z14</f>
        <v>0</v>
      </c>
      <c r="C20" s="1020">
        <f>[10]Critérium!AA14</f>
        <v>0</v>
      </c>
      <c r="D20" s="1068">
        <f>[10]Critérium!AB14</f>
        <v>0</v>
      </c>
      <c r="E20" s="1073" t="str">
        <f>VLOOKUP(LARGE([10]liste!$BQ:$BQ,1),[10]liste!$BQ$2:$BR$100,2,FALSE)</f>
        <v>Cojean Gwendal</v>
      </c>
      <c r="F20" s="561"/>
      <c r="G20" s="561"/>
      <c r="H20" s="1047">
        <f>IF(E20="","",VLOOKUP(E20,'[10]championnat jeune'!$B$12:$K$40,9,FALSE)+VLOOKUP(E20,'[10]championnat jeune'!$B$56:$K$85,9,FALSE))</f>
        <v>0</v>
      </c>
      <c r="I20" s="1048">
        <f>IF(E20="","",VLOOKUP(E20,'[10]championnat jeune'!$B$12:$K$40,10,FALSE)+VLOOKUP(E20,'[10]championnat jeune'!$B$56:$K$85,10,FALSE))</f>
        <v>0</v>
      </c>
      <c r="J20" s="1047">
        <f>IF(E20="","",VLOOKUP(E20,'[10]championnat jeune'!$AA$12:$AH$40,7,FALSE)+VLOOKUP(E20,'[10]championnat jeune'!$AA$56:$AH$91,7,FALSE))</f>
        <v>2</v>
      </c>
      <c r="K20" s="1048">
        <f>IF(E20="","",VLOOKUP(E20,'[10]championnat jeune'!$AA$12:$AH$40,8,FALSE)+VLOOKUP(E20,'[10]championnat jeune'!$AA$56:$AH$91,8,FALSE))</f>
        <v>7</v>
      </c>
      <c r="L20" s="1016" t="s">
        <v>92</v>
      </c>
      <c r="M20" s="1016"/>
      <c r="N20" s="1016"/>
      <c r="O20" s="1038">
        <v>1</v>
      </c>
      <c r="P20" s="1039">
        <v>3</v>
      </c>
      <c r="Q20" s="1099" t="s">
        <v>656</v>
      </c>
      <c r="R20" s="1016" t="str">
        <f>[10]Critérium!AS20</f>
        <v>Touche Rémy</v>
      </c>
      <c r="S20" s="1031">
        <f>[10]Critérium!AT20</f>
        <v>2</v>
      </c>
      <c r="T20" s="1032">
        <f>[10]Critérium!AU20</f>
        <v>2</v>
      </c>
      <c r="U20" s="1033" t="str">
        <f>[10]Critérium!AV20</f>
        <v>1/16</v>
      </c>
      <c r="Z20"/>
    </row>
    <row r="21" spans="1:26" ht="15.75" customHeight="1">
      <c r="A21" s="1021" t="str">
        <f>[10]Critérium!Y15</f>
        <v>Zaragoza Quentin</v>
      </c>
      <c r="B21" s="1017">
        <f>[10]Critérium!Z15</f>
        <v>5</v>
      </c>
      <c r="C21" s="1018">
        <f>[10]Critérium!AA15</f>
        <v>2</v>
      </c>
      <c r="D21" s="1069" t="str">
        <f>[10]Critérium!AB15</f>
        <v>6ème</v>
      </c>
      <c r="E21" s="1073" t="str">
        <f>VLOOKUP(LARGE([10]liste!$BQ:$BQ,2),[10]liste!$BQ$2:$BR$100,2,FALSE)</f>
        <v>Simon Titouan</v>
      </c>
      <c r="F21" s="561"/>
      <c r="G21" s="561"/>
      <c r="H21" s="1049">
        <f>IF(E21="","",VLOOKUP(E21,'[10]championnat jeune'!$B$12:$K$40,9,FALSE)+VLOOKUP(E21,'[10]championnat jeune'!$B$56:$K$85,9,FALSE))</f>
        <v>4</v>
      </c>
      <c r="I21" s="1050">
        <f>IF(E21="","",VLOOKUP(E21,'[10]championnat jeune'!$B$12:$K$40,10,FALSE)+VLOOKUP(E21,'[10]championnat jeune'!$B$56:$K$85,10,FALSE))</f>
        <v>11</v>
      </c>
      <c r="J21" s="1049">
        <f>IF(E21="","",VLOOKUP(E21,'[10]championnat jeune'!$AA$12:$AH$40,7,FALSE)+VLOOKUP(E21,'[10]championnat jeune'!$AA$56:$AH$91,7,FALSE))</f>
        <v>5</v>
      </c>
      <c r="K21" s="1050">
        <f>IF(E21="","",VLOOKUP(E21,'[10]championnat jeune'!$AA$12:$AH$40,8,FALSE)+VLOOKUP(E21,'[10]championnat jeune'!$AA$56:$AH$91,8,FALSE))</f>
        <v>10</v>
      </c>
      <c r="L21" s="1016" t="s">
        <v>652</v>
      </c>
      <c r="M21" s="1016"/>
      <c r="N21" s="1016"/>
      <c r="O21" s="1034">
        <v>2</v>
      </c>
      <c r="P21" s="1035">
        <v>3</v>
      </c>
      <c r="Q21" s="1037" t="s">
        <v>656</v>
      </c>
      <c r="R21" s="1016" t="str">
        <f>[10]Critérium!AS21</f>
        <v>Baudais Luc</v>
      </c>
      <c r="S21" s="1031">
        <f>[10]Critérium!AT21</f>
        <v>2</v>
      </c>
      <c r="T21" s="1032">
        <f>[10]Critérium!AU21</f>
        <v>2</v>
      </c>
      <c r="U21" s="1033" t="str">
        <f>[10]Critérium!AV21</f>
        <v>1/16</v>
      </c>
      <c r="Z21"/>
    </row>
    <row r="22" spans="1:26" ht="15.75" customHeight="1">
      <c r="D22" s="1078"/>
      <c r="E22" s="1073" t="str">
        <f>VLOOKUP(LARGE([10]liste!$BQ:$BQ,3),[10]liste!$BQ$2:$BR$100,2,FALSE)</f>
        <v>Zaragoza Quentin</v>
      </c>
      <c r="F22" s="561"/>
      <c r="G22" s="561"/>
      <c r="H22" s="1049">
        <f>IF(E22="","",VLOOKUP(E22,'[10]championnat jeune'!$B$12:$K$40,9,FALSE)+VLOOKUP(E22,'[10]championnat jeune'!$B$56:$K$85,9,FALSE))</f>
        <v>0</v>
      </c>
      <c r="I22" s="1050">
        <f>IF(E22="","",VLOOKUP(E22,'[10]championnat jeune'!$B$12:$K$40,10,FALSE)+VLOOKUP(E22,'[10]championnat jeune'!$B$56:$K$85,10,FALSE))</f>
        <v>0</v>
      </c>
      <c r="J22" s="1049">
        <f>IF(E22="","",VLOOKUP(E22,'[10]championnat jeune'!$AA$12:$AH$40,7,FALSE)+VLOOKUP(E22,'[10]championnat jeune'!$AA$56:$AH$91,7,FALSE))</f>
        <v>9</v>
      </c>
      <c r="K22" s="1050">
        <f>IF(E22="","",VLOOKUP(E22,'[10]championnat jeune'!$AA$12:$AH$40,8,FALSE)+VLOOKUP(E22,'[10]championnat jeune'!$AA$56:$AH$91,8,FALSE))</f>
        <v>0</v>
      </c>
      <c r="L22" s="1016" t="s">
        <v>163</v>
      </c>
      <c r="M22" s="1016"/>
      <c r="N22" s="1016"/>
      <c r="O22" s="1034">
        <v>5</v>
      </c>
      <c r="P22" s="1035">
        <v>1</v>
      </c>
      <c r="Q22" s="1097" t="s">
        <v>160</v>
      </c>
      <c r="R22" s="1016" t="str">
        <f>[10]Critérium!AS22</f>
        <v>Morin Emmanuel</v>
      </c>
      <c r="S22" s="1031">
        <f>[10]Critérium!AT22</f>
        <v>5</v>
      </c>
      <c r="T22" s="1032">
        <f>[10]Critérium!AU22</f>
        <v>1</v>
      </c>
      <c r="U22" s="1033" t="str">
        <f>[10]Critérium!AV22</f>
        <v>3ème</v>
      </c>
      <c r="Z22"/>
    </row>
    <row r="23" spans="1:26" ht="15.75" customHeight="1">
      <c r="A23" s="735" t="str">
        <f>[10]Critérium!Y21</f>
        <v>Final/clast/Bret</v>
      </c>
      <c r="B23" s="1022">
        <f>[10]Critérium!Z21</f>
        <v>42127</v>
      </c>
      <c r="C23" s="1023">
        <f>[10]Critérium!AA21</f>
        <v>0</v>
      </c>
      <c r="D23" s="1069">
        <f>[10]Critérium!AB21</f>
        <v>0</v>
      </c>
      <c r="E23" s="1073" t="str">
        <f>VLOOKUP(LARGE([10]liste!$BQ:$BQ,4),[10]liste!$BQ$2:$BR$100,2,FALSE)</f>
        <v>Sail Rémy</v>
      </c>
      <c r="F23" s="561"/>
      <c r="G23" s="561"/>
      <c r="H23" s="1049">
        <f>IF(E23="","",VLOOKUP(E23,'[10]championnat jeune'!$B$12:$K$40,9,FALSE)+VLOOKUP(E23,'[10]championnat jeune'!$B$56:$K$85,9,FALSE))</f>
        <v>14</v>
      </c>
      <c r="I23" s="1050">
        <f>IF(E23="","",VLOOKUP(E23,'[10]championnat jeune'!$B$12:$K$40,10,FALSE)+VLOOKUP(E23,'[10]championnat jeune'!$B$56:$K$85,10,FALSE))</f>
        <v>1</v>
      </c>
      <c r="J23" s="1049">
        <f>IF(E23="","",VLOOKUP(E23,'[10]championnat jeune'!$AA$12:$AH$40,7,FALSE)+VLOOKUP(E23,'[10]championnat jeune'!$AA$56:$AH$91,7,FALSE))</f>
        <v>9</v>
      </c>
      <c r="K23" s="1050">
        <f>IF(E23="","",VLOOKUP(E23,'[10]championnat jeune'!$AA$12:$AH$40,8,FALSE)+VLOOKUP(E23,'[10]championnat jeune'!$AA$56:$AH$91,8,FALSE))</f>
        <v>0</v>
      </c>
      <c r="L23" s="1283"/>
      <c r="M23" s="1283"/>
      <c r="N23" s="1283"/>
      <c r="O23" s="1056"/>
      <c r="P23" s="1084"/>
      <c r="Q23" s="70"/>
      <c r="R23" s="1016" t="str">
        <f>[10]Critérium!AS23</f>
        <v>Couture Christophe</v>
      </c>
      <c r="S23" s="1031">
        <f>[10]Critérium!AT23</f>
        <v>0</v>
      </c>
      <c r="T23" s="1032">
        <f>[10]Critérium!AU23</f>
        <v>2</v>
      </c>
      <c r="U23" s="1033" t="str">
        <f>[10]Critérium!AV23</f>
        <v>poules</v>
      </c>
      <c r="Z23"/>
    </row>
    <row r="24" spans="1:26" ht="15.75" customHeight="1">
      <c r="A24" s="1016" t="str">
        <f>[10]Critérium!Y22</f>
        <v>Morin Léa</v>
      </c>
      <c r="B24" s="1024">
        <f>[10]Critérium!Z22</f>
        <v>2</v>
      </c>
      <c r="C24" s="1025">
        <f>[10]Critérium!AA22</f>
        <v>4</v>
      </c>
      <c r="D24" s="1070" t="str">
        <f>[10]Critérium!AB22</f>
        <v>8ème</v>
      </c>
      <c r="E24" s="1073" t="str">
        <f>VLOOKUP(LARGE([10]liste!$BQ:$BQ,5),[10]liste!$BQ$2:$BR$100,2,FALSE)</f>
        <v>Ayoul-Bellot Thais</v>
      </c>
      <c r="F24" s="561"/>
      <c r="G24" s="561"/>
      <c r="H24" s="1049">
        <f>IF(E24="","",VLOOKUP(E24,'[10]championnat jeune'!$B$12:$K$40,9,FALSE)+VLOOKUP(E24,'[10]championnat jeune'!$B$56:$K$85,9,FALSE))</f>
        <v>2</v>
      </c>
      <c r="I24" s="1050">
        <f>IF(E24="","",VLOOKUP(E24,'[10]championnat jeune'!$B$12:$K$40,10,FALSE)+VLOOKUP(E24,'[10]championnat jeune'!$B$56:$K$85,10,FALSE))</f>
        <v>10</v>
      </c>
      <c r="J24" s="1049">
        <f>IF(E24="","",VLOOKUP(E24,'[10]championnat jeune'!$AA$12:$AH$40,7,FALSE)+VLOOKUP(E24,'[10]championnat jeune'!$AA$56:$AH$91,7,FALSE))</f>
        <v>0</v>
      </c>
      <c r="K24" s="1050">
        <f>IF(E24="","",VLOOKUP(E24,'[10]championnat jeune'!$AA$12:$AH$40,8,FALSE)+VLOOKUP(E24,'[10]championnat jeune'!$AA$56:$AH$91,8,FALSE))</f>
        <v>3</v>
      </c>
      <c r="L24" s="1283"/>
      <c r="M24" s="1283"/>
      <c r="N24" s="1283"/>
      <c r="O24" s="1054"/>
      <c r="P24" s="1083"/>
      <c r="Q24" s="70"/>
      <c r="R24" s="1016" t="str">
        <f>[10]Critérium!AS24</f>
        <v>Hilton Franck</v>
      </c>
      <c r="S24" s="1031">
        <f>[10]Critérium!AT24</f>
        <v>7</v>
      </c>
      <c r="T24" s="1032">
        <f>[10]Critérium!AU24</f>
        <v>0</v>
      </c>
      <c r="U24" s="1033" t="str">
        <f>[10]Critérium!AV24</f>
        <v>1er</v>
      </c>
      <c r="Z24"/>
    </row>
    <row r="25" spans="1:26" ht="15.75" customHeight="1">
      <c r="A25" s="1016" t="str">
        <f>[10]Critérium!Y23</f>
        <v>Morin Quentin</v>
      </c>
      <c r="B25" s="1024">
        <f>[10]Critérium!Z23</f>
        <v>2</v>
      </c>
      <c r="C25" s="1025">
        <f>[10]Critérium!AA23</f>
        <v>1</v>
      </c>
      <c r="D25" s="1069" t="str">
        <f>[10]Critérium!AB23</f>
        <v>9ème</v>
      </c>
      <c r="E25" s="1073" t="str">
        <f>VLOOKUP(LARGE([10]liste!$BQ:$BQ,6),[10]liste!$BQ$2:$BR$100,2,FALSE)</f>
        <v>Morin Quentin</v>
      </c>
      <c r="F25" s="561"/>
      <c r="G25" s="561"/>
      <c r="H25" s="1090">
        <f>IF(E25="","",VLOOKUP(E25,'[10]championnat jeune'!$B$12:$K$40,9,FALSE)+VLOOKUP(E25,'[10]championnat jeune'!$B$56:$K$85,9,FALSE))</f>
        <v>3</v>
      </c>
      <c r="I25" s="1091">
        <f>IF(E25="","",VLOOKUP(E25,'[10]championnat jeune'!$B$12:$K$40,10,FALSE)+VLOOKUP(E25,'[10]championnat jeune'!$B$56:$K$85,10,FALSE))</f>
        <v>0</v>
      </c>
      <c r="J25" s="1090">
        <f>IF(E25="","",VLOOKUP(E25,'[10]championnat jeune'!$AA$12:$AH$40,7,FALSE)+VLOOKUP(E25,'[10]championnat jeune'!$AA$56:$AH$91,7,FALSE))</f>
        <v>0</v>
      </c>
      <c r="K25" s="1074">
        <f>IF(E25="","",VLOOKUP(E25,'[10]championnat jeune'!$AA$12:$AH$40,8,FALSE)+VLOOKUP(E25,'[10]championnat jeune'!$AA$56:$AH$91,8,FALSE))</f>
        <v>0</v>
      </c>
      <c r="L25" s="1085"/>
      <c r="M25" s="1086"/>
      <c r="N25" s="1086"/>
      <c r="O25" s="1054"/>
      <c r="P25" s="1083"/>
      <c r="Q25" s="70"/>
      <c r="R25" s="1016" t="str">
        <f>[10]Critérium!AS25</f>
        <v>Faulkner Thierry</v>
      </c>
      <c r="S25" s="1031">
        <f>[10]Critérium!AT25</f>
        <v>0</v>
      </c>
      <c r="T25" s="1032">
        <f>[10]Critérium!AU25</f>
        <v>2</v>
      </c>
      <c r="U25" s="1033" t="str">
        <f>[10]Critérium!AV25</f>
        <v>poules</v>
      </c>
      <c r="Z25"/>
    </row>
    <row r="26" spans="1:26" ht="15.75" customHeight="1">
      <c r="A26" s="1016" t="str">
        <f>[10]Critérium!Y24</f>
        <v>Couture Nicolas</v>
      </c>
      <c r="B26" s="1024">
        <f>[10]Critérium!Z24</f>
        <v>3</v>
      </c>
      <c r="C26" s="1025">
        <f>[10]Critérium!AA24</f>
        <v>3</v>
      </c>
      <c r="D26" s="1069" t="str">
        <f>[10]Critérium!AB24</f>
        <v>7ème</v>
      </c>
      <c r="E26" s="1080">
        <f>[12]Critérium!X11</f>
        <v>0</v>
      </c>
      <c r="F26" s="1286"/>
      <c r="G26" s="1286"/>
      <c r="H26" s="1286"/>
      <c r="I26" s="1094"/>
      <c r="J26" s="1095"/>
      <c r="K26" s="1057"/>
      <c r="L26" s="1028" t="str">
        <f>[10]cal.Ph1!$J$39</f>
        <v>Vétérans 56</v>
      </c>
      <c r="O26" s="1014">
        <f>[10]cal.Ph1!$K$39</f>
        <v>41959</v>
      </c>
      <c r="P26" s="1029"/>
      <c r="Q26" s="1100"/>
      <c r="R26" s="1016" t="str">
        <f>[10]Critérium!AS26</f>
        <v>Roszak Clément</v>
      </c>
      <c r="S26" s="1031">
        <f>[10]Critérium!AT26</f>
        <v>0</v>
      </c>
      <c r="T26" s="1032">
        <f>[10]Critérium!AU26</f>
        <v>2</v>
      </c>
      <c r="U26" s="1033" t="str">
        <f>[10]Critérium!AV26</f>
        <v>poules</v>
      </c>
      <c r="Z26"/>
    </row>
    <row r="27" spans="1:26" ht="15.75" customHeight="1">
      <c r="A27" s="1016">
        <f>[10]Critérium!Y19</f>
        <v>0</v>
      </c>
      <c r="B27" s="1017">
        <f>[10]Critérium!Z19</f>
        <v>0</v>
      </c>
      <c r="C27" s="1018">
        <f>[10]Critérium!AA19</f>
        <v>0</v>
      </c>
      <c r="D27" s="1069">
        <f>[10]Critérium!AB19</f>
        <v>0</v>
      </c>
      <c r="E27" s="1079">
        <f>[12]Critérium!X12</f>
        <v>0</v>
      </c>
      <c r="F27" s="1287"/>
      <c r="G27" s="1287"/>
      <c r="H27" s="1287"/>
      <c r="I27" s="1058"/>
      <c r="J27" s="1083"/>
      <c r="K27" s="1059"/>
      <c r="L27" s="1016" t="s">
        <v>95</v>
      </c>
      <c r="M27" s="1016"/>
      <c r="N27" s="1016"/>
      <c r="O27" s="1034">
        <v>3</v>
      </c>
      <c r="P27" s="1035">
        <v>2</v>
      </c>
      <c r="Q27" s="1097" t="s">
        <v>648</v>
      </c>
      <c r="R27" s="1016" t="str">
        <f>[10]Critérium!AS27</f>
        <v>Couture Nicolas</v>
      </c>
      <c r="S27" s="1031">
        <f>[10]Critérium!AT27</f>
        <v>2</v>
      </c>
      <c r="T27" s="1032">
        <f>[10]Critérium!AU27</f>
        <v>1</v>
      </c>
      <c r="U27" s="1033" t="str">
        <f>[10]Critérium!AV27</f>
        <v>1/8</v>
      </c>
      <c r="Z27"/>
    </row>
    <row r="28" spans="1:26" ht="15.75" customHeight="1">
      <c r="A28" s="735" t="str">
        <f>[10]Critérium!Y29</f>
        <v>autres( titres…)</v>
      </c>
      <c r="B28" s="1022">
        <f>[10]Critérium!Z29</f>
        <v>0</v>
      </c>
      <c r="C28" s="1023">
        <f>[10]Critérium!AA29</f>
        <v>0</v>
      </c>
      <c r="D28" s="1069">
        <f>[10]Critérium!AB20</f>
        <v>0</v>
      </c>
      <c r="E28" s="1055">
        <f>[12]Critérium!X13</f>
        <v>0</v>
      </c>
      <c r="F28" s="1284"/>
      <c r="G28" s="1284"/>
      <c r="H28" s="1284"/>
      <c r="I28" s="1058"/>
      <c r="J28" s="1083"/>
      <c r="K28" s="1060"/>
      <c r="L28" s="1016" t="s">
        <v>99</v>
      </c>
      <c r="M28" s="1016"/>
      <c r="N28" s="1016"/>
      <c r="O28" s="1038">
        <v>1</v>
      </c>
      <c r="P28" s="1039">
        <v>2</v>
      </c>
      <c r="Q28" s="1101" t="s">
        <v>647</v>
      </c>
      <c r="R28" s="1016" t="str">
        <f>[10]Critérium!AS28</f>
        <v>Flégeau Matthieu</v>
      </c>
      <c r="S28" s="1031">
        <f>[10]Critérium!AT28</f>
        <v>0</v>
      </c>
      <c r="T28" s="1032">
        <f>[10]Critérium!AU28</f>
        <v>2</v>
      </c>
      <c r="U28" s="1033" t="str">
        <f>[10]Critérium!AV28</f>
        <v>poules</v>
      </c>
      <c r="Z28"/>
    </row>
    <row r="29" spans="1:26" ht="15.75" customHeight="1">
      <c r="A29" s="1016" t="str">
        <f>[10]Critérium!Y30</f>
        <v>Brient Jean-François</v>
      </c>
      <c r="B29" s="1024">
        <f>[10]Critérium!Z30</f>
        <v>7</v>
      </c>
      <c r="C29" s="1025">
        <f>[10]Critérium!AA30</f>
        <v>2</v>
      </c>
      <c r="D29" s="299"/>
      <c r="E29" s="1055">
        <f>[12]Critérium!X14</f>
        <v>0</v>
      </c>
      <c r="F29" s="1061"/>
      <c r="G29" s="1092"/>
      <c r="H29" s="1092"/>
      <c r="I29" s="1056"/>
      <c r="J29" s="1084"/>
      <c r="K29" s="1059"/>
      <c r="L29" s="1016" t="s">
        <v>97</v>
      </c>
      <c r="M29" s="1016"/>
      <c r="N29" s="1016"/>
      <c r="O29" s="1034">
        <v>1</v>
      </c>
      <c r="P29" s="1035">
        <v>2</v>
      </c>
      <c r="Q29" s="1097" t="s">
        <v>647</v>
      </c>
      <c r="R29" s="1016" t="str">
        <f>[10]Critérium!AS29</f>
        <v>Brient Jean-François</v>
      </c>
      <c r="S29" s="1031">
        <f>[10]Critérium!AT29</f>
        <v>5</v>
      </c>
      <c r="T29" s="1032">
        <f>[10]Critérium!AU29</f>
        <v>1</v>
      </c>
      <c r="U29" s="1033" t="str">
        <f>[10]Critérium!AV29</f>
        <v>2ème</v>
      </c>
      <c r="Z29"/>
    </row>
    <row r="30" spans="1:26" ht="15.75" customHeight="1">
      <c r="A30" s="1016" t="str">
        <f>[10]Critérium!Y31</f>
        <v>Morin Léa</v>
      </c>
      <c r="B30" s="1024">
        <f>[10]Critérium!Z31</f>
        <v>7</v>
      </c>
      <c r="C30" s="1025">
        <f>[10]Critérium!AA31</f>
        <v>7</v>
      </c>
      <c r="D30" s="299"/>
      <c r="E30" s="1093">
        <f>[12]Critérium!X15</f>
        <v>0</v>
      </c>
      <c r="F30" s="1285"/>
      <c r="G30" s="1285"/>
      <c r="H30" s="1285"/>
      <c r="I30" s="1058"/>
      <c r="J30" s="1083"/>
      <c r="K30" s="1057"/>
      <c r="L30" s="1016" t="s">
        <v>168</v>
      </c>
      <c r="M30" s="1016"/>
      <c r="N30" s="1016"/>
      <c r="O30" s="1034">
        <v>1</v>
      </c>
      <c r="P30" s="1035">
        <v>3</v>
      </c>
      <c r="Q30" s="1097" t="s">
        <v>161</v>
      </c>
      <c r="R30" s="1016" t="str">
        <f>[10]Critérium!AO3</f>
        <v>Cojean Gwendal</v>
      </c>
      <c r="S30" s="1034">
        <f>[10]Critérium!AP3</f>
        <v>0</v>
      </c>
      <c r="T30" s="1035">
        <f>[10]Critérium!AQ3</f>
        <v>2</v>
      </c>
      <c r="U30" s="1036" t="str">
        <f>[10]Critérium!AR3</f>
        <v>poules</v>
      </c>
      <c r="Z30"/>
    </row>
    <row r="31" spans="1:26" ht="15.75" customHeight="1">
      <c r="A31" s="1016" t="str">
        <f>[10]Critérium!Y32</f>
        <v>Morin Quentin</v>
      </c>
      <c r="B31" s="1024">
        <f>[10]Critérium!Z32</f>
        <v>5</v>
      </c>
      <c r="C31" s="1025">
        <f>[10]Critérium!AA32</f>
        <v>5</v>
      </c>
      <c r="D31" s="299"/>
      <c r="E31" s="1062">
        <f>[12]Critérium!X16</f>
        <v>0</v>
      </c>
      <c r="F31" s="1287"/>
      <c r="G31" s="1287"/>
      <c r="H31" s="1287"/>
      <c r="I31" s="1058"/>
      <c r="J31" s="1083"/>
      <c r="K31" s="1059"/>
      <c r="L31" s="1283"/>
      <c r="M31" s="1283"/>
      <c r="N31" s="1283"/>
      <c r="O31" s="1054"/>
      <c r="P31" s="1083"/>
      <c r="Q31" s="70"/>
      <c r="R31" s="1016" t="str">
        <f>[10]Critérium!AO4</f>
        <v>Zaragoza Quentin</v>
      </c>
      <c r="S31" s="1034">
        <f>[10]Critérium!AP4</f>
        <v>1</v>
      </c>
      <c r="T31" s="1035">
        <f>[10]Critérium!AQ4</f>
        <v>2</v>
      </c>
      <c r="U31" s="1037" t="str">
        <f>[10]Critérium!AR4</f>
        <v>1/16</v>
      </c>
      <c r="Z31"/>
    </row>
    <row r="32" spans="1:26" ht="15.75" customHeight="1">
      <c r="A32" s="1016" t="str">
        <f>[10]Critérium!Y33</f>
        <v>Morin Emmanuel</v>
      </c>
      <c r="B32" s="1024">
        <f>[10]Critérium!Z33</f>
        <v>4</v>
      </c>
      <c r="C32" s="1025">
        <f>[10]Critérium!AA33</f>
        <v>3</v>
      </c>
      <c r="D32" s="299"/>
      <c r="E32" s="1062">
        <f>[12]Critérium!X17</f>
        <v>0</v>
      </c>
      <c r="F32" s="1287"/>
      <c r="G32" s="1287"/>
      <c r="H32" s="1287"/>
      <c r="I32" s="1056"/>
      <c r="J32" s="1084"/>
      <c r="K32" s="1059"/>
      <c r="L32" s="1283"/>
      <c r="M32" s="1283"/>
      <c r="N32" s="1283"/>
      <c r="O32" s="1056"/>
      <c r="P32" s="1084"/>
      <c r="Q32" s="59"/>
      <c r="R32" s="1016" t="str">
        <f>[10]Critérium!AO5</f>
        <v>Sail Rémy</v>
      </c>
      <c r="S32" s="1038">
        <f>[10]Critérium!AP5</f>
        <v>3</v>
      </c>
      <c r="T32" s="1039">
        <f>[10]Critérium!AQ5</f>
        <v>1</v>
      </c>
      <c r="U32" s="1040" t="str">
        <f>[10]Critérium!AR5</f>
        <v>1/8</v>
      </c>
      <c r="Z32"/>
    </row>
    <row r="33" spans="1:26" ht="15.75" customHeight="1">
      <c r="A33" s="1016" t="str">
        <f>[10]Critérium!Y34</f>
        <v>Roszak Martin</v>
      </c>
      <c r="B33" s="1024">
        <f>[10]Critérium!Z34</f>
        <v>1</v>
      </c>
      <c r="C33" s="1025">
        <f>[10]Critérium!AA34</f>
        <v>2</v>
      </c>
      <c r="D33" s="1089">
        <f>[10]Critérium!AB25</f>
        <v>0</v>
      </c>
      <c r="E33" s="1093">
        <f>[12]Critérium!X17</f>
        <v>0</v>
      </c>
      <c r="F33" s="1287"/>
      <c r="G33" s="1287"/>
      <c r="H33" s="1287"/>
      <c r="I33" s="1058"/>
      <c r="J33" s="1083"/>
      <c r="K33" s="136" t="s">
        <v>6</v>
      </c>
      <c r="L33" s="57"/>
      <c r="M33" s="57"/>
      <c r="N33" s="58"/>
      <c r="O33" s="13"/>
      <c r="P33" s="137"/>
      <c r="Q33" s="70"/>
      <c r="R33" s="1016" t="str">
        <f>[10]Critérium!AO6</f>
        <v>Le Garnec Sacha</v>
      </c>
      <c r="S33" s="1041">
        <f>[10]Critérium!AP6</f>
        <v>1</v>
      </c>
      <c r="T33" s="1032">
        <f>[10]Critérium!AQ6</f>
        <v>2</v>
      </c>
      <c r="U33" s="1042" t="str">
        <f>[10]Critérium!AR6</f>
        <v>1/16</v>
      </c>
      <c r="Z33"/>
    </row>
    <row r="34" spans="1:26" ht="15.75" customHeight="1">
      <c r="A34" s="1016" t="str">
        <f>[10]Critérium!Y35</f>
        <v>Faulkner Thierry</v>
      </c>
      <c r="B34" s="1024">
        <f>[10]Critérium!Z35</f>
        <v>3</v>
      </c>
      <c r="C34" s="1025">
        <f>[10]Critérium!AA35</f>
        <v>6</v>
      </c>
      <c r="D34" s="1089">
        <f>[10]Critérium!AB26</f>
        <v>0</v>
      </c>
      <c r="E34" s="1062">
        <f>[12]Critérium!X18</f>
        <v>0</v>
      </c>
      <c r="F34" s="1287"/>
      <c r="G34" s="1287"/>
      <c r="H34" s="1287"/>
      <c r="I34" s="1058"/>
      <c r="J34" s="1083"/>
      <c r="K34" s="185" t="s">
        <v>7</v>
      </c>
      <c r="L34" s="185"/>
      <c r="M34" s="185"/>
      <c r="N34" s="185"/>
      <c r="O34" s="185"/>
      <c r="P34" s="185"/>
      <c r="Q34" s="79"/>
      <c r="R34" s="1016" t="str">
        <f>[10]Critérium!AO7</f>
        <v>Morin Quentin</v>
      </c>
      <c r="S34" s="1031">
        <f>[10]Critérium!AP7</f>
        <v>3</v>
      </c>
      <c r="T34" s="1032">
        <f>[10]Critérium!AQ7</f>
        <v>1</v>
      </c>
      <c r="U34" s="1033" t="str">
        <f>[10]Critérium!AR7</f>
        <v>1/8</v>
      </c>
      <c r="Z34"/>
    </row>
    <row r="35" spans="1:26" ht="15.75" customHeight="1">
      <c r="A35" s="1016">
        <f>[10]Critérium!Y27</f>
        <v>0</v>
      </c>
      <c r="B35" s="1026">
        <f>[10]Critérium!Z27</f>
        <v>0</v>
      </c>
      <c r="C35" s="1027">
        <f>[10]Critérium!AA27</f>
        <v>0</v>
      </c>
      <c r="D35" s="1089">
        <f>[10]Critérium!AB27</f>
        <v>0</v>
      </c>
      <c r="E35" s="1055"/>
      <c r="F35" s="1290"/>
      <c r="G35" s="1290"/>
      <c r="H35" s="1290"/>
      <c r="I35" s="1052"/>
      <c r="J35" s="1087"/>
      <c r="K35" s="63"/>
      <c r="L35" s="58"/>
      <c r="M35" s="64" t="s">
        <v>8</v>
      </c>
      <c r="N35" s="66"/>
      <c r="O35" s="65" t="s">
        <v>9</v>
      </c>
      <c r="P35" s="138"/>
      <c r="Q35" s="70"/>
      <c r="R35" s="1016" t="str">
        <f>[10]Critérium!AO8</f>
        <v>Lorho Mathieu</v>
      </c>
      <c r="S35" s="1031">
        <f>[10]Critérium!AP8</f>
        <v>0</v>
      </c>
      <c r="T35" s="1032">
        <f>[10]Critérium!AQ8</f>
        <v>2</v>
      </c>
      <c r="U35" s="1033" t="str">
        <f>[10]Critérium!AR8</f>
        <v>poules</v>
      </c>
      <c r="Z35"/>
    </row>
    <row r="36" spans="1:26" ht="15.75" customHeight="1">
      <c r="A36" s="1016">
        <f>[10]Critérium!Y28</f>
        <v>0</v>
      </c>
      <c r="B36" s="1026">
        <f>[10]Critérium!Z28</f>
        <v>0</v>
      </c>
      <c r="C36" s="1027">
        <f>[10]Critérium!AA28</f>
        <v>0</v>
      </c>
      <c r="D36" s="1089">
        <f>[10]Critérium!AB28</f>
        <v>0</v>
      </c>
      <c r="E36" s="561"/>
      <c r="F36" s="1291"/>
      <c r="G36" s="1291"/>
      <c r="H36" s="1291"/>
      <c r="I36" s="1291"/>
      <c r="J36" s="1060"/>
      <c r="K36" s="64" t="s">
        <v>10</v>
      </c>
      <c r="L36" s="63"/>
      <c r="M36" s="1294">
        <f>'[10]blog stats'!C140</f>
        <v>25712</v>
      </c>
      <c r="N36" s="1295"/>
      <c r="O36" s="1278">
        <v>78594</v>
      </c>
      <c r="P36" s="1271"/>
      <c r="Q36" s="59"/>
      <c r="R36" s="1016" t="str">
        <f>[10]Critérium!AO9</f>
        <v>Roszak Martin</v>
      </c>
      <c r="S36" s="1031">
        <f>[10]Critérium!AP9</f>
        <v>0</v>
      </c>
      <c r="T36" s="1032">
        <f>[10]Critérium!AQ9</f>
        <v>2</v>
      </c>
      <c r="U36" s="1033" t="str">
        <f>[10]Critérium!AR9</f>
        <v>1/16</v>
      </c>
      <c r="Z36"/>
    </row>
    <row r="37" spans="1:26" ht="15.75" customHeight="1">
      <c r="A37" s="299"/>
      <c r="B37" s="299"/>
      <c r="C37" s="299"/>
      <c r="D37" s="1069">
        <f>[10]Critérium!AB29</f>
        <v>0</v>
      </c>
      <c r="E37" s="561"/>
      <c r="F37" s="1292"/>
      <c r="G37" s="1292"/>
      <c r="H37" s="1292"/>
      <c r="I37" s="1292"/>
      <c r="J37" s="1060"/>
      <c r="K37" s="65" t="s">
        <v>11</v>
      </c>
      <c r="L37" s="63"/>
      <c r="M37" s="1102">
        <f>'[10]blog stats'!C141</f>
        <v>2143</v>
      </c>
      <c r="N37" s="1102"/>
      <c r="O37" s="1102">
        <f>'[10]blog stats'!D141</f>
        <v>6549</v>
      </c>
      <c r="P37" s="185">
        <f>'[10]blog stats'!F141</f>
        <v>0</v>
      </c>
      <c r="Q37" s="70"/>
      <c r="R37" s="1016" t="str">
        <f>[10]Critérium!AO10</f>
        <v>Jugé Léana</v>
      </c>
      <c r="S37" s="1031">
        <f>[10]Critérium!AP10</f>
        <v>0</v>
      </c>
      <c r="T37" s="1032">
        <f>[10]Critérium!AQ10</f>
        <v>4</v>
      </c>
      <c r="U37" s="1033" t="str">
        <f>[10]Critérium!AR10</f>
        <v>1/4</v>
      </c>
      <c r="Z37"/>
    </row>
    <row r="38" spans="1:26" ht="15.75" customHeight="1">
      <c r="A38" s="299"/>
      <c r="B38" s="299"/>
      <c r="C38" s="299"/>
      <c r="D38" s="1069">
        <f>[10]Critérium!AB30</f>
        <v>0</v>
      </c>
      <c r="E38" s="561"/>
      <c r="F38" s="1292"/>
      <c r="G38" s="1292"/>
      <c r="H38" s="1292"/>
      <c r="I38" s="1292"/>
      <c r="J38" s="1063"/>
      <c r="K38" s="1064"/>
      <c r="L38" s="1293">
        <f>[12]Critérium!AC23</f>
        <v>0</v>
      </c>
      <c r="M38" s="1293"/>
      <c r="N38" s="1293"/>
      <c r="O38" s="1065">
        <f>[12]Critérium!AD23</f>
        <v>0</v>
      </c>
      <c r="P38" s="1063">
        <f>[12]Critérium!AE23</f>
        <v>0</v>
      </c>
      <c r="Q38" s="132">
        <f>[12]Critérium!AF23</f>
        <v>0</v>
      </c>
      <c r="R38" s="1016" t="str">
        <f>[10]Critérium!AO11</f>
        <v>Morin Léa</v>
      </c>
      <c r="S38" s="1031">
        <f>[10]Critérium!AP11</f>
        <v>4</v>
      </c>
      <c r="T38" s="1032">
        <f>[10]Critérium!AQ11</f>
        <v>2</v>
      </c>
      <c r="U38" s="1033" t="str">
        <f>[10]Critérium!AR11</f>
        <v>3ème</v>
      </c>
      <c r="Z38"/>
    </row>
    <row r="39" spans="1:26" ht="15.75" customHeight="1">
      <c r="A39" s="299"/>
      <c r="B39" s="299"/>
      <c r="C39" s="299"/>
      <c r="D39" s="1069">
        <f>[10]Critérium!AB31</f>
        <v>0</v>
      </c>
      <c r="E39" s="561"/>
      <c r="F39" s="1292"/>
      <c r="G39" s="1292"/>
      <c r="H39" s="1292"/>
      <c r="I39" s="1292"/>
      <c r="J39" s="1063"/>
      <c r="K39" s="1066"/>
      <c r="L39" s="1293">
        <f>[12]Critérium!AC24</f>
        <v>0</v>
      </c>
      <c r="M39" s="1293"/>
      <c r="N39" s="1293"/>
      <c r="O39" s="1065">
        <f>[12]Critérium!AD24</f>
        <v>0</v>
      </c>
      <c r="P39" s="1063">
        <f>[12]Critérium!AE24</f>
        <v>0</v>
      </c>
      <c r="Q39" s="134" t="str">
        <f>[12]Critérium!AF24</f>
        <v>1/8</v>
      </c>
      <c r="R39" s="135">
        <f>[12]Critérium!AG24</f>
        <v>0</v>
      </c>
      <c r="S39" s="133">
        <f>[12]Critérium!AH24</f>
        <v>0</v>
      </c>
      <c r="T39" s="133">
        <f>[12]Critérium!AI24</f>
        <v>0</v>
      </c>
      <c r="Z39"/>
    </row>
    <row r="40" spans="1:26" ht="15.75" customHeight="1">
      <c r="A40" s="561"/>
      <c r="B40" s="561"/>
      <c r="C40" s="561"/>
      <c r="D40" s="1089"/>
      <c r="E40" s="561"/>
      <c r="F40" s="1103"/>
      <c r="G40" s="1103"/>
      <c r="H40" s="1103"/>
      <c r="I40" s="1052"/>
      <c r="J40" s="1104"/>
      <c r="K40" s="1063"/>
      <c r="L40" s="1293"/>
      <c r="M40" s="1293"/>
      <c r="N40" s="1293"/>
      <c r="O40" s="1065"/>
      <c r="P40" s="1104"/>
      <c r="Q40" s="1063"/>
      <c r="R40" s="1105"/>
      <c r="S40" s="1065"/>
      <c r="T40" s="1065"/>
      <c r="U40" s="1106"/>
      <c r="Z40"/>
    </row>
    <row r="41" spans="1:26" ht="15.75" customHeight="1">
      <c r="A41" s="561"/>
      <c r="B41" s="561"/>
      <c r="C41" s="561"/>
      <c r="D41" s="1089"/>
      <c r="E41" s="561"/>
      <c r="F41" s="1107"/>
      <c r="G41" s="1107"/>
      <c r="H41" s="1107"/>
      <c r="I41" s="1108"/>
      <c r="J41" s="1288"/>
      <c r="K41" s="1288"/>
      <c r="L41" s="1289"/>
      <c r="M41" s="1289"/>
      <c r="N41" s="1289"/>
      <c r="O41" s="1065"/>
      <c r="P41" s="1288"/>
      <c r="Q41" s="1288"/>
      <c r="R41" s="1109"/>
      <c r="S41" s="1065"/>
      <c r="T41" s="1065"/>
      <c r="U41" s="1106"/>
      <c r="Z41"/>
    </row>
    <row r="42" spans="1:26" ht="15.75" customHeight="1">
      <c r="A42" s="561"/>
      <c r="B42" s="561"/>
      <c r="C42" s="561"/>
      <c r="D42" s="1089"/>
      <c r="E42" s="561"/>
      <c r="F42" s="1103"/>
      <c r="G42" s="1103"/>
      <c r="H42" s="1103"/>
      <c r="I42" s="1052"/>
      <c r="J42" s="1104"/>
      <c r="K42" s="1064"/>
      <c r="L42" s="1293"/>
      <c r="M42" s="1293"/>
      <c r="N42" s="1293"/>
      <c r="O42" s="1065"/>
      <c r="P42" s="1104"/>
      <c r="Q42" s="1064"/>
      <c r="R42" s="1105"/>
      <c r="S42" s="1065"/>
      <c r="T42" s="1065"/>
      <c r="U42" s="1106"/>
      <c r="Z42"/>
    </row>
    <row r="43" spans="1:26" ht="15.75" customHeight="1">
      <c r="A43" s="561"/>
      <c r="B43" s="561"/>
      <c r="C43" s="561"/>
      <c r="D43" s="1089"/>
      <c r="E43" s="561"/>
      <c r="F43" s="1103"/>
      <c r="G43" s="1103"/>
      <c r="H43" s="1103"/>
      <c r="I43" s="1052"/>
      <c r="J43" s="1104"/>
      <c r="K43" s="1110"/>
      <c r="L43" s="1293"/>
      <c r="M43" s="1293"/>
      <c r="N43" s="1293"/>
      <c r="O43" s="1065"/>
      <c r="P43" s="1104"/>
      <c r="Q43" s="1110"/>
      <c r="R43" s="1105"/>
      <c r="S43" s="1065"/>
      <c r="T43" s="1065"/>
      <c r="U43" s="1106"/>
      <c r="Z43"/>
    </row>
    <row r="44" spans="1:26" ht="15.75" customHeight="1">
      <c r="A44" s="1111"/>
      <c r="B44" s="1088"/>
      <c r="C44" s="1112"/>
      <c r="D44" s="1113"/>
      <c r="E44" s="911"/>
      <c r="F44" s="1114"/>
      <c r="G44" s="1115"/>
      <c r="H44" s="1115"/>
      <c r="I44" s="1116"/>
      <c r="J44" s="1104"/>
      <c r="K44" s="1063"/>
      <c r="L44" s="1293"/>
      <c r="M44" s="1293"/>
      <c r="N44" s="1293"/>
      <c r="O44" s="1065"/>
      <c r="P44" s="1104"/>
      <c r="Q44" s="1063"/>
      <c r="R44" s="1105"/>
      <c r="S44" s="1065"/>
      <c r="T44" s="1065"/>
      <c r="U44" s="1106"/>
      <c r="Z44"/>
    </row>
    <row r="45" spans="1:26" ht="15.75" customHeight="1">
      <c r="A45" s="1111"/>
      <c r="B45" s="1088"/>
      <c r="C45" s="1112"/>
      <c r="D45" s="1117"/>
      <c r="E45" s="911"/>
      <c r="F45" s="1115"/>
      <c r="G45" s="1115"/>
      <c r="H45" s="1115"/>
      <c r="I45" s="1118"/>
      <c r="J45" s="1104"/>
      <c r="K45" s="1110"/>
      <c r="L45" s="1289"/>
      <c r="M45" s="1289"/>
      <c r="N45" s="1289"/>
      <c r="O45" s="1065"/>
      <c r="P45" s="1104"/>
      <c r="Q45" s="1110"/>
      <c r="R45" s="1109"/>
      <c r="S45" s="1065"/>
      <c r="T45" s="1065"/>
      <c r="U45" s="1106"/>
      <c r="Z45"/>
    </row>
    <row r="46" spans="1:26" ht="15.75" hidden="1" customHeight="1">
      <c r="A46" s="1111"/>
      <c r="B46" s="1088"/>
      <c r="C46" s="1112"/>
      <c r="D46" s="1113"/>
      <c r="E46" s="911"/>
      <c r="F46" s="1115"/>
      <c r="G46" s="1115"/>
      <c r="H46" s="1115"/>
      <c r="I46" s="1118"/>
      <c r="J46" s="1104"/>
      <c r="K46" s="1064"/>
      <c r="L46" s="1293"/>
      <c r="M46" s="1293"/>
      <c r="N46" s="1293"/>
      <c r="O46" s="1065"/>
      <c r="P46" s="1104"/>
      <c r="Q46" s="1064"/>
      <c r="R46" s="1105"/>
      <c r="S46" s="1065"/>
      <c r="T46" s="1065"/>
      <c r="U46" s="1106"/>
      <c r="Z46"/>
    </row>
    <row r="47" spans="1:26" ht="15.75" hidden="1" customHeight="1">
      <c r="A47" s="1111"/>
      <c r="B47" s="1088"/>
      <c r="C47" s="1112"/>
      <c r="D47" s="1119"/>
      <c r="E47" s="911"/>
      <c r="F47" s="1115"/>
      <c r="G47" s="1115"/>
      <c r="H47" s="1115"/>
      <c r="I47" s="1118"/>
      <c r="J47" s="1104"/>
      <c r="K47" s="1110"/>
      <c r="L47" s="1293"/>
      <c r="M47" s="1293"/>
      <c r="N47" s="1293"/>
      <c r="O47" s="1065"/>
      <c r="P47" s="1104"/>
      <c r="Q47" s="1110"/>
      <c r="R47" s="1105"/>
      <c r="S47" s="1065"/>
      <c r="T47" s="1065"/>
      <c r="U47" s="1106"/>
      <c r="Z47"/>
    </row>
    <row r="48" spans="1:26" ht="15.75" hidden="1" customHeight="1">
      <c r="A48" s="1111"/>
      <c r="B48" s="1088"/>
      <c r="C48" s="1112"/>
      <c r="D48" s="1119"/>
      <c r="E48" s="911"/>
      <c r="F48" s="1115"/>
      <c r="G48" s="1115"/>
      <c r="H48" s="1115"/>
      <c r="I48" s="1118"/>
      <c r="J48" s="1104"/>
      <c r="K48" s="1063"/>
      <c r="L48" s="1293"/>
      <c r="M48" s="1293"/>
      <c r="N48" s="1293"/>
      <c r="O48" s="1065"/>
      <c r="P48" s="1104"/>
      <c r="Q48" s="1063"/>
      <c r="R48" s="1105"/>
      <c r="S48" s="1065"/>
      <c r="T48" s="1065"/>
      <c r="U48" s="1106"/>
      <c r="Z48"/>
    </row>
    <row r="49" spans="1:28">
      <c r="A49" s="1111"/>
      <c r="B49" s="1088"/>
      <c r="C49" s="1112"/>
      <c r="D49" s="1119"/>
      <c r="E49" s="911"/>
      <c r="F49" s="1115"/>
      <c r="G49" s="1115"/>
      <c r="H49" s="1115"/>
      <c r="I49" s="1120"/>
      <c r="J49" s="1104"/>
      <c r="K49" s="561"/>
      <c r="L49" s="561"/>
      <c r="M49" s="561"/>
      <c r="N49" s="561"/>
      <c r="O49" s="561"/>
      <c r="P49" s="561"/>
      <c r="Q49" s="1121"/>
      <c r="R49" s="1122"/>
      <c r="S49" s="1065"/>
      <c r="T49" s="1065"/>
      <c r="U49" s="1106"/>
      <c r="Z49"/>
    </row>
    <row r="50" spans="1:28">
      <c r="A50" s="1111"/>
      <c r="B50" s="1123"/>
      <c r="C50" s="1112"/>
      <c r="D50" s="1124"/>
      <c r="E50" s="911"/>
      <c r="F50" s="1115"/>
      <c r="G50" s="1115"/>
      <c r="H50" s="1115"/>
      <c r="I50" s="1125"/>
      <c r="J50" s="1125"/>
      <c r="K50" s="561"/>
      <c r="L50" s="561"/>
      <c r="M50" s="561"/>
      <c r="N50" s="561"/>
      <c r="O50" s="561"/>
      <c r="P50" s="561"/>
      <c r="Q50" s="1296"/>
      <c r="R50" s="1297"/>
      <c r="S50" s="1297"/>
      <c r="T50" s="1297"/>
      <c r="U50" s="1106"/>
      <c r="AA50" s="72"/>
    </row>
    <row r="51" spans="1:28">
      <c r="A51" s="1126"/>
      <c r="B51" s="1127"/>
      <c r="C51" s="1128"/>
      <c r="D51" s="1129"/>
      <c r="E51" s="561"/>
      <c r="F51" s="561"/>
      <c r="G51" s="561"/>
      <c r="H51" s="1060"/>
      <c r="I51" s="1060"/>
      <c r="J51" s="1060"/>
      <c r="K51" s="561"/>
      <c r="L51" s="561"/>
      <c r="M51" s="561"/>
      <c r="N51" s="561"/>
      <c r="O51" s="561"/>
      <c r="P51" s="561"/>
      <c r="Q51" s="1297"/>
      <c r="R51" s="1297"/>
      <c r="S51" s="1297"/>
      <c r="T51" s="1297"/>
      <c r="U51" s="1106"/>
      <c r="AA51" s="72"/>
      <c r="AB51" s="72"/>
    </row>
    <row r="52" spans="1:28">
      <c r="A52" s="1130"/>
      <c r="B52" s="1131"/>
      <c r="C52" s="1131"/>
      <c r="D52" s="1131"/>
      <c r="E52" s="1131"/>
      <c r="F52" s="1131"/>
      <c r="G52" s="1131"/>
      <c r="H52" s="1130"/>
      <c r="I52" s="1060"/>
      <c r="J52" s="1060"/>
      <c r="K52" s="561"/>
      <c r="L52" s="561"/>
      <c r="M52" s="561"/>
      <c r="N52" s="561"/>
      <c r="O52" s="561"/>
      <c r="P52" s="561"/>
      <c r="Q52" s="1297"/>
      <c r="R52" s="1297"/>
      <c r="S52" s="1297"/>
      <c r="T52" s="1297"/>
      <c r="U52" s="1106"/>
    </row>
    <row r="53" spans="1:28">
      <c r="A53" s="1130"/>
      <c r="B53" s="1131"/>
      <c r="C53" s="1132"/>
      <c r="D53" s="1132"/>
      <c r="E53" s="1131"/>
      <c r="F53" s="1131"/>
      <c r="G53" s="1131"/>
      <c r="H53" s="1130"/>
      <c r="I53" s="1060"/>
      <c r="J53" s="1060"/>
      <c r="K53" s="561"/>
      <c r="L53" s="561"/>
      <c r="M53" s="561"/>
      <c r="N53" s="561"/>
      <c r="O53" s="561"/>
      <c r="P53" s="561"/>
      <c r="Q53" s="561"/>
      <c r="R53" s="1106"/>
      <c r="S53" s="1106"/>
      <c r="T53" s="1106"/>
      <c r="U53" s="1106"/>
    </row>
    <row r="54" spans="1:28">
      <c r="A54" s="561"/>
      <c r="B54" s="1121"/>
      <c r="C54" s="1133"/>
      <c r="D54" s="1133"/>
      <c r="E54" s="1133"/>
      <c r="F54" s="1121"/>
      <c r="G54" s="1134"/>
      <c r="H54" s="1135"/>
      <c r="I54" s="1136"/>
      <c r="J54" s="1136"/>
      <c r="K54" s="1060"/>
      <c r="L54" s="1137"/>
      <c r="M54" s="1137"/>
      <c r="N54" s="1137"/>
      <c r="O54" s="1136"/>
      <c r="P54" s="1060"/>
      <c r="Q54" s="1060"/>
      <c r="R54" s="1106"/>
      <c r="S54" s="1106"/>
      <c r="T54" s="1106"/>
      <c r="U54" s="1106"/>
    </row>
    <row r="55" spans="1:28">
      <c r="A55" s="156"/>
      <c r="B55" s="187"/>
      <c r="C55" s="187"/>
      <c r="D55" s="187"/>
      <c r="E55" s="187"/>
      <c r="F55" s="187"/>
      <c r="G55" s="188"/>
      <c r="H55" s="186"/>
      <c r="I55" s="82"/>
      <c r="J55" s="82"/>
      <c r="K55" s="1"/>
      <c r="L55" s="83"/>
      <c r="M55" s="83"/>
      <c r="N55" s="83"/>
      <c r="O55" s="82"/>
      <c r="P55" s="1"/>
      <c r="Q55" s="1"/>
    </row>
    <row r="56" spans="1:28">
      <c r="A56" s="156"/>
      <c r="B56" s="187"/>
      <c r="C56" s="187"/>
      <c r="D56" s="187"/>
      <c r="E56" s="187"/>
      <c r="F56" s="187"/>
      <c r="G56" s="188"/>
      <c r="H56" s="186"/>
      <c r="I56" s="82"/>
      <c r="J56" s="82"/>
      <c r="K56" s="1"/>
      <c r="L56" s="84"/>
      <c r="M56" s="84"/>
      <c r="N56" s="84"/>
      <c r="O56" s="82"/>
      <c r="P56" s="1"/>
      <c r="Q56" s="1"/>
    </row>
    <row r="57" spans="1:28">
      <c r="A57" s="187"/>
      <c r="B57" s="187"/>
      <c r="C57" s="187"/>
      <c r="D57" s="187"/>
      <c r="E57" s="187"/>
      <c r="F57" s="187"/>
      <c r="G57" s="188"/>
      <c r="H57" s="186"/>
      <c r="I57" s="82"/>
      <c r="J57" s="82"/>
      <c r="K57" s="85"/>
      <c r="L57" s="82"/>
      <c r="M57" s="82"/>
      <c r="N57" s="82"/>
      <c r="O57" s="82"/>
      <c r="P57" s="1"/>
      <c r="Q57" s="1"/>
    </row>
    <row r="58" spans="1:28">
      <c r="A58" s="187"/>
      <c r="B58" s="187"/>
      <c r="C58" s="187"/>
      <c r="D58" s="187"/>
      <c r="E58" s="187"/>
      <c r="F58" s="187"/>
      <c r="G58" s="188"/>
      <c r="H58" s="186"/>
      <c r="I58" s="82"/>
      <c r="J58" s="82"/>
      <c r="K58" s="85"/>
      <c r="L58" s="82"/>
      <c r="M58" s="82"/>
      <c r="N58" s="82"/>
      <c r="O58" s="82"/>
      <c r="P58" s="1"/>
      <c r="Q58" s="1"/>
    </row>
    <row r="59" spans="1:28">
      <c r="A59" s="85"/>
      <c r="B59" s="85"/>
      <c r="C59" s="85"/>
      <c r="D59" s="85"/>
      <c r="E59" s="85"/>
      <c r="F59" s="85"/>
      <c r="G59" s="85"/>
      <c r="H59" s="82"/>
      <c r="I59" s="82"/>
      <c r="J59" s="82"/>
      <c r="K59" s="85"/>
      <c r="L59" s="82"/>
      <c r="M59" s="82"/>
      <c r="N59" s="82"/>
      <c r="O59" s="82"/>
      <c r="P59" s="1"/>
      <c r="Q59" s="1"/>
    </row>
    <row r="60" spans="1:28">
      <c r="A60" s="85"/>
      <c r="B60" s="85"/>
      <c r="C60" s="85"/>
      <c r="D60" s="85"/>
      <c r="E60" s="85"/>
      <c r="F60" s="85"/>
      <c r="G60" s="85"/>
      <c r="H60" s="82"/>
      <c r="I60" s="82"/>
      <c r="J60" s="82"/>
      <c r="K60" s="85"/>
      <c r="L60" s="82"/>
      <c r="M60" s="82"/>
      <c r="N60" s="82"/>
      <c r="O60" s="82"/>
      <c r="P60" s="1"/>
      <c r="Q60" s="1"/>
    </row>
    <row r="61" spans="1:28">
      <c r="A61" s="85"/>
      <c r="B61" s="85"/>
      <c r="C61" s="85"/>
      <c r="D61" s="85"/>
      <c r="E61" s="85"/>
      <c r="F61" s="85"/>
      <c r="G61" s="85"/>
      <c r="H61" s="82"/>
      <c r="I61" s="82"/>
      <c r="J61" s="82"/>
      <c r="K61" s="85"/>
      <c r="L61" s="82"/>
      <c r="M61" s="82"/>
      <c r="N61" s="82"/>
      <c r="O61" s="82"/>
      <c r="P61" s="1"/>
      <c r="Q61" s="1"/>
    </row>
    <row r="62" spans="1:28">
      <c r="H62" s="1"/>
      <c r="I62" s="1"/>
      <c r="J62" s="1"/>
      <c r="L62" s="1"/>
      <c r="M62" s="1"/>
      <c r="N62" s="1"/>
      <c r="O62" s="1"/>
      <c r="P62" s="1"/>
      <c r="Q62" s="1"/>
    </row>
    <row r="63" spans="1:28">
      <c r="H63" s="1"/>
      <c r="I63" s="1"/>
      <c r="J63" s="1"/>
      <c r="L63" s="1"/>
      <c r="M63" s="1"/>
      <c r="N63" s="1"/>
      <c r="O63" s="1"/>
      <c r="P63" s="1"/>
      <c r="Q63" s="1"/>
    </row>
    <row r="64" spans="1:28">
      <c r="H64" s="1"/>
      <c r="I64" s="1"/>
      <c r="J64" s="1"/>
      <c r="L64" s="1"/>
      <c r="M64" s="1"/>
      <c r="N64" s="1"/>
      <c r="O64" s="1"/>
      <c r="P64" s="1"/>
      <c r="Q64" s="1"/>
    </row>
    <row r="65" spans="8:26">
      <c r="H65" s="1"/>
      <c r="I65" s="1"/>
      <c r="J65" s="1"/>
      <c r="L65" s="1"/>
      <c r="M65" s="1"/>
      <c r="N65" s="1"/>
      <c r="O65" s="1"/>
      <c r="P65" s="1"/>
      <c r="Q65" s="1"/>
    </row>
    <row r="66" spans="8:26" s="1" customFormat="1">
      <c r="R66" s="72"/>
      <c r="S66" s="72"/>
      <c r="T66" s="72"/>
      <c r="U66" s="72"/>
      <c r="V66" s="72"/>
      <c r="W66" s="72"/>
      <c r="X66" s="72"/>
      <c r="Y66" s="72"/>
      <c r="Z66" s="72"/>
    </row>
    <row r="67" spans="8:26" s="1" customFormat="1">
      <c r="R67" s="72"/>
      <c r="S67" s="72"/>
      <c r="T67" s="72"/>
      <c r="U67" s="72"/>
      <c r="V67" s="72"/>
      <c r="W67" s="72"/>
      <c r="X67" s="72"/>
      <c r="Y67" s="72"/>
      <c r="Z67" s="72"/>
    </row>
    <row r="68" spans="8:26" s="1" customFormat="1">
      <c r="R68" s="72"/>
      <c r="S68" s="72"/>
      <c r="T68" s="72"/>
      <c r="U68" s="72"/>
      <c r="V68" s="72"/>
      <c r="W68" s="72"/>
      <c r="X68" s="72"/>
      <c r="Y68" s="72"/>
      <c r="Z68" s="72"/>
    </row>
    <row r="69" spans="8:26" s="1" customFormat="1">
      <c r="R69" s="72"/>
      <c r="S69" s="72"/>
      <c r="T69" s="72"/>
      <c r="U69" s="72"/>
      <c r="V69" s="72"/>
      <c r="W69" s="72"/>
      <c r="X69" s="72"/>
      <c r="Y69" s="72"/>
      <c r="Z69" s="72"/>
    </row>
    <row r="70" spans="8:26" s="1" customFormat="1">
      <c r="R70" s="72"/>
      <c r="S70" s="72"/>
      <c r="T70" s="72"/>
      <c r="U70" s="72"/>
      <c r="V70" s="72"/>
      <c r="W70" s="72"/>
      <c r="X70" s="72"/>
      <c r="Y70" s="72"/>
      <c r="Z70" s="72"/>
    </row>
    <row r="71" spans="8:26" s="1" customFormat="1">
      <c r="R71" s="72"/>
      <c r="S71" s="72"/>
      <c r="T71" s="72"/>
      <c r="U71" s="72"/>
      <c r="V71" s="72"/>
      <c r="W71" s="72"/>
      <c r="X71" s="72"/>
      <c r="Y71" s="72"/>
      <c r="Z71" s="72"/>
    </row>
    <row r="72" spans="8:26" s="1" customFormat="1">
      <c r="R72" s="72"/>
      <c r="S72" s="72"/>
      <c r="T72" s="72"/>
      <c r="U72" s="72"/>
      <c r="V72" s="72"/>
      <c r="W72" s="72"/>
      <c r="X72" s="72"/>
      <c r="Y72" s="72"/>
      <c r="Z72" s="72"/>
    </row>
    <row r="73" spans="8:26" s="1" customFormat="1">
      <c r="R73" s="72"/>
      <c r="S73" s="72"/>
      <c r="T73" s="72"/>
      <c r="U73" s="72"/>
      <c r="V73" s="72"/>
      <c r="W73" s="72"/>
      <c r="X73" s="72"/>
      <c r="Y73" s="72"/>
      <c r="Z73" s="72"/>
    </row>
    <row r="74" spans="8:26" s="1" customFormat="1">
      <c r="R74" s="72"/>
      <c r="S74" s="72"/>
      <c r="T74" s="72"/>
      <c r="U74" s="72"/>
      <c r="V74" s="72"/>
      <c r="W74" s="72"/>
      <c r="X74" s="72"/>
      <c r="Y74" s="72"/>
      <c r="Z74" s="72"/>
    </row>
    <row r="75" spans="8:26" s="1" customFormat="1">
      <c r="R75" s="72"/>
      <c r="S75" s="72"/>
      <c r="T75" s="72"/>
      <c r="U75" s="72"/>
      <c r="V75" s="72"/>
      <c r="W75" s="72"/>
      <c r="X75" s="72"/>
      <c r="Y75" s="72"/>
      <c r="Z75" s="72"/>
    </row>
    <row r="76" spans="8:26" s="1" customFormat="1">
      <c r="R76" s="72"/>
      <c r="S76" s="72"/>
      <c r="T76" s="72"/>
      <c r="U76" s="72"/>
      <c r="V76" s="72"/>
      <c r="W76" s="72"/>
      <c r="X76" s="72"/>
      <c r="Y76" s="72"/>
      <c r="Z76" s="72"/>
    </row>
    <row r="77" spans="8:26" s="1" customFormat="1">
      <c r="R77" s="72"/>
      <c r="S77" s="72"/>
      <c r="T77" s="72"/>
      <c r="U77" s="72"/>
      <c r="V77" s="72"/>
      <c r="W77" s="72"/>
      <c r="X77" s="72"/>
      <c r="Y77" s="72"/>
      <c r="Z77" s="72"/>
    </row>
    <row r="78" spans="8:26" s="1" customFormat="1">
      <c r="R78" s="72"/>
      <c r="S78" s="72"/>
      <c r="T78" s="72"/>
      <c r="U78" s="72"/>
      <c r="V78" s="72"/>
      <c r="W78" s="72"/>
      <c r="X78" s="72"/>
      <c r="Y78" s="72"/>
      <c r="Z78" s="72"/>
    </row>
    <row r="79" spans="8:26" s="1" customFormat="1">
      <c r="R79" s="72"/>
      <c r="S79" s="72"/>
      <c r="T79" s="72"/>
      <c r="U79" s="72"/>
      <c r="V79" s="72"/>
      <c r="W79" s="72"/>
      <c r="X79" s="72"/>
      <c r="Y79" s="72"/>
      <c r="Z79" s="72"/>
    </row>
    <row r="80" spans="8:26" s="1" customFormat="1">
      <c r="R80" s="72"/>
      <c r="S80" s="72"/>
      <c r="T80" s="72"/>
      <c r="U80" s="72"/>
      <c r="V80" s="72"/>
      <c r="W80" s="72"/>
      <c r="X80" s="72"/>
      <c r="Y80" s="72"/>
      <c r="Z80" s="72"/>
    </row>
    <row r="81" spans="18:26" s="1" customFormat="1">
      <c r="R81" s="72"/>
      <c r="S81" s="72"/>
      <c r="T81" s="72"/>
      <c r="U81" s="72"/>
      <c r="V81" s="72"/>
      <c r="W81" s="72"/>
      <c r="X81" s="72"/>
      <c r="Y81" s="72"/>
      <c r="Z81" s="72"/>
    </row>
    <row r="82" spans="18:26" s="1" customFormat="1">
      <c r="R82" s="72"/>
      <c r="S82" s="72"/>
      <c r="T82" s="72"/>
      <c r="U82" s="72"/>
      <c r="V82" s="72"/>
      <c r="W82" s="72"/>
      <c r="X82" s="72"/>
      <c r="Y82" s="72"/>
      <c r="Z82" s="72"/>
    </row>
    <row r="83" spans="18:26" s="1" customFormat="1">
      <c r="R83" s="72"/>
      <c r="S83" s="72"/>
      <c r="T83" s="72"/>
      <c r="U83" s="72"/>
      <c r="V83" s="72"/>
      <c r="W83" s="72"/>
      <c r="X83" s="72"/>
      <c r="Y83" s="72"/>
      <c r="Z83" s="72"/>
    </row>
    <row r="84" spans="18:26" s="1" customFormat="1">
      <c r="R84" s="72"/>
      <c r="S84" s="72"/>
      <c r="T84" s="72"/>
      <c r="U84" s="72"/>
      <c r="V84" s="72"/>
      <c r="W84" s="72"/>
      <c r="X84" s="72"/>
      <c r="Y84" s="72"/>
      <c r="Z84" s="72"/>
    </row>
    <row r="85" spans="18:26" s="1" customFormat="1">
      <c r="R85" s="72"/>
      <c r="S85" s="72"/>
      <c r="T85" s="72"/>
      <c r="U85" s="72"/>
      <c r="V85" s="72"/>
      <c r="W85" s="72"/>
      <c r="X85" s="72"/>
      <c r="Y85" s="72"/>
      <c r="Z85" s="72"/>
    </row>
    <row r="86" spans="18:26" s="1" customFormat="1">
      <c r="R86" s="72"/>
      <c r="S86" s="72"/>
      <c r="T86" s="72"/>
      <c r="U86" s="72"/>
      <c r="V86" s="72"/>
      <c r="W86" s="72"/>
      <c r="X86" s="72"/>
      <c r="Y86" s="72"/>
      <c r="Z86" s="72"/>
    </row>
    <row r="87" spans="18:26" s="1" customFormat="1">
      <c r="R87" s="72"/>
      <c r="S87" s="72"/>
      <c r="T87" s="72"/>
      <c r="U87" s="72"/>
      <c r="V87" s="72"/>
      <c r="W87" s="72"/>
      <c r="X87" s="72"/>
      <c r="Y87" s="72"/>
      <c r="Z87" s="72"/>
    </row>
    <row r="88" spans="18:26" s="1" customFormat="1">
      <c r="R88" s="72"/>
      <c r="S88" s="72"/>
      <c r="T88" s="72"/>
      <c r="U88" s="72"/>
      <c r="V88" s="72"/>
      <c r="W88" s="72"/>
      <c r="X88" s="72"/>
      <c r="Y88" s="72"/>
      <c r="Z88" s="72"/>
    </row>
    <row r="89" spans="18:26" s="1" customFormat="1">
      <c r="R89" s="72"/>
      <c r="S89" s="72"/>
      <c r="T89" s="72"/>
      <c r="U89" s="72"/>
      <c r="V89" s="72"/>
      <c r="W89" s="72"/>
      <c r="X89" s="72"/>
      <c r="Y89" s="72"/>
      <c r="Z89" s="72"/>
    </row>
    <row r="90" spans="18:26" s="1" customFormat="1">
      <c r="R90" s="72"/>
      <c r="S90" s="72"/>
      <c r="T90" s="72"/>
      <c r="U90" s="72"/>
      <c r="V90" s="72"/>
      <c r="W90" s="72"/>
      <c r="X90" s="72"/>
      <c r="Y90" s="72"/>
      <c r="Z90" s="72"/>
    </row>
    <row r="91" spans="18:26" s="1" customFormat="1">
      <c r="R91" s="72"/>
      <c r="S91" s="72"/>
      <c r="T91" s="72"/>
      <c r="U91" s="72"/>
      <c r="V91" s="72"/>
      <c r="W91" s="72"/>
      <c r="X91" s="72"/>
      <c r="Y91" s="72"/>
      <c r="Z91" s="72"/>
    </row>
    <row r="92" spans="18:26" s="1" customFormat="1">
      <c r="R92" s="72"/>
      <c r="S92" s="72"/>
      <c r="T92" s="72"/>
      <c r="U92" s="72"/>
      <c r="V92" s="72"/>
      <c r="W92" s="72"/>
      <c r="X92" s="72"/>
      <c r="Y92" s="72"/>
      <c r="Z92" s="72"/>
    </row>
    <row r="93" spans="18:26" s="1" customFormat="1">
      <c r="R93" s="72"/>
      <c r="S93" s="72"/>
      <c r="T93" s="72"/>
      <c r="U93" s="72"/>
      <c r="V93" s="72"/>
      <c r="W93" s="72"/>
      <c r="X93" s="72"/>
      <c r="Y93" s="72"/>
      <c r="Z93" s="72"/>
    </row>
    <row r="94" spans="18:26" s="1" customFormat="1">
      <c r="R94" s="72"/>
      <c r="S94" s="72"/>
      <c r="T94" s="72"/>
      <c r="U94" s="72"/>
      <c r="V94" s="72"/>
      <c r="W94" s="72"/>
      <c r="X94" s="72"/>
      <c r="Y94" s="72"/>
      <c r="Z94" s="72"/>
    </row>
    <row r="95" spans="18:26" s="1" customFormat="1">
      <c r="R95" s="72"/>
      <c r="S95" s="72"/>
      <c r="T95" s="72"/>
      <c r="U95" s="72"/>
      <c r="V95" s="72"/>
      <c r="W95" s="72"/>
      <c r="X95" s="72"/>
      <c r="Y95" s="72"/>
      <c r="Z95" s="72"/>
    </row>
    <row r="96" spans="18:26" s="1" customFormat="1">
      <c r="R96" s="72"/>
      <c r="S96" s="72"/>
      <c r="T96" s="72"/>
      <c r="U96" s="72"/>
      <c r="V96" s="72"/>
      <c r="W96" s="72"/>
      <c r="X96" s="72"/>
      <c r="Y96" s="72"/>
      <c r="Z96" s="72"/>
    </row>
    <row r="97" spans="18:26" s="1" customFormat="1">
      <c r="R97" s="72"/>
      <c r="S97" s="72"/>
      <c r="T97" s="72"/>
      <c r="U97" s="72"/>
      <c r="V97" s="72"/>
      <c r="W97" s="72"/>
      <c r="X97" s="72"/>
      <c r="Y97" s="72"/>
      <c r="Z97" s="72"/>
    </row>
    <row r="98" spans="18:26" s="1" customFormat="1">
      <c r="R98" s="72"/>
      <c r="S98" s="72"/>
      <c r="T98" s="72"/>
      <c r="U98" s="72"/>
      <c r="V98" s="72"/>
      <c r="W98" s="72"/>
      <c r="X98" s="72"/>
      <c r="Y98" s="72"/>
      <c r="Z98" s="72"/>
    </row>
    <row r="99" spans="18:26" s="1" customFormat="1">
      <c r="R99" s="72"/>
      <c r="S99" s="72"/>
      <c r="T99" s="72"/>
      <c r="U99" s="72"/>
      <c r="V99" s="72"/>
      <c r="W99" s="72"/>
      <c r="X99" s="72"/>
      <c r="Y99" s="72"/>
      <c r="Z99" s="72"/>
    </row>
    <row r="100" spans="18:26" s="1" customFormat="1">
      <c r="R100" s="72"/>
      <c r="S100" s="72"/>
      <c r="T100" s="72"/>
      <c r="U100" s="72"/>
      <c r="V100" s="72"/>
      <c r="W100" s="72"/>
      <c r="X100" s="72"/>
      <c r="Y100" s="72"/>
      <c r="Z100" s="72"/>
    </row>
    <row r="101" spans="18:26" s="1" customFormat="1">
      <c r="R101" s="72"/>
      <c r="S101" s="72"/>
      <c r="T101" s="72"/>
      <c r="U101" s="72"/>
      <c r="V101" s="72"/>
      <c r="W101" s="72"/>
      <c r="X101" s="72"/>
      <c r="Y101" s="72"/>
      <c r="Z101" s="72"/>
    </row>
    <row r="102" spans="18:26" s="1" customFormat="1">
      <c r="R102" s="72"/>
      <c r="S102" s="72"/>
      <c r="T102" s="72"/>
      <c r="U102" s="72"/>
      <c r="V102" s="72"/>
      <c r="W102" s="72"/>
      <c r="X102" s="72"/>
      <c r="Y102" s="72"/>
      <c r="Z102" s="72"/>
    </row>
    <row r="103" spans="18:26" s="1" customFormat="1">
      <c r="R103" s="72"/>
      <c r="S103" s="72"/>
      <c r="T103" s="72"/>
      <c r="U103" s="72"/>
      <c r="V103" s="72"/>
      <c r="W103" s="72"/>
      <c r="X103" s="72"/>
      <c r="Y103" s="72"/>
      <c r="Z103" s="72"/>
    </row>
    <row r="104" spans="18:26" s="1" customFormat="1">
      <c r="R104" s="72"/>
      <c r="S104" s="72"/>
      <c r="T104" s="72"/>
      <c r="U104" s="72"/>
      <c r="V104" s="72"/>
      <c r="W104" s="72"/>
      <c r="X104" s="72"/>
      <c r="Y104" s="72"/>
      <c r="Z104" s="72"/>
    </row>
    <row r="105" spans="18:26" s="1" customFormat="1">
      <c r="R105" s="72"/>
      <c r="S105" s="72"/>
      <c r="T105" s="72"/>
      <c r="U105" s="72"/>
      <c r="V105" s="72"/>
      <c r="W105" s="72"/>
      <c r="X105" s="72"/>
      <c r="Y105" s="72"/>
      <c r="Z105" s="72"/>
    </row>
    <row r="106" spans="18:26" s="1" customFormat="1">
      <c r="R106" s="72"/>
      <c r="S106" s="72"/>
      <c r="T106" s="72"/>
      <c r="U106" s="72"/>
      <c r="V106" s="72"/>
      <c r="W106" s="72"/>
      <c r="X106" s="72"/>
      <c r="Y106" s="72"/>
      <c r="Z106" s="72"/>
    </row>
    <row r="107" spans="18:26" s="1" customFormat="1">
      <c r="R107" s="72"/>
      <c r="S107" s="72"/>
      <c r="T107" s="72"/>
      <c r="U107" s="72"/>
      <c r="V107" s="72"/>
      <c r="W107" s="72"/>
      <c r="X107" s="72"/>
      <c r="Y107" s="72"/>
      <c r="Z107" s="72"/>
    </row>
    <row r="108" spans="18:26" s="1" customFormat="1">
      <c r="R108" s="72"/>
      <c r="S108" s="72"/>
      <c r="T108" s="72"/>
      <c r="U108" s="72"/>
      <c r="V108" s="72"/>
      <c r="W108" s="72"/>
      <c r="X108" s="72"/>
      <c r="Y108" s="72"/>
      <c r="Z108" s="72"/>
    </row>
    <row r="109" spans="18:26" s="1" customFormat="1">
      <c r="R109" s="72"/>
      <c r="S109" s="72"/>
      <c r="T109" s="72"/>
      <c r="U109" s="72"/>
      <c r="V109" s="72"/>
      <c r="W109" s="72"/>
      <c r="X109" s="72"/>
      <c r="Y109" s="72"/>
      <c r="Z109" s="72"/>
    </row>
    <row r="110" spans="18:26" s="1" customFormat="1">
      <c r="R110" s="72"/>
      <c r="S110" s="72"/>
      <c r="T110" s="72"/>
      <c r="U110" s="72"/>
      <c r="V110" s="72"/>
      <c r="W110" s="72"/>
      <c r="X110" s="72"/>
      <c r="Y110" s="72"/>
      <c r="Z110" s="72"/>
    </row>
    <row r="111" spans="18:26" s="1" customFormat="1">
      <c r="R111" s="72"/>
      <c r="S111" s="72"/>
      <c r="T111" s="72"/>
      <c r="U111" s="72"/>
      <c r="V111" s="72"/>
      <c r="W111" s="72"/>
      <c r="X111" s="72"/>
      <c r="Y111" s="72"/>
      <c r="Z111" s="72"/>
    </row>
    <row r="112" spans="18:26" s="1" customFormat="1">
      <c r="R112" s="72"/>
      <c r="S112" s="72"/>
      <c r="T112" s="72"/>
      <c r="U112" s="72"/>
      <c r="V112" s="72"/>
      <c r="W112" s="72"/>
      <c r="X112" s="72"/>
      <c r="Y112" s="72"/>
      <c r="Z112" s="72"/>
    </row>
    <row r="113" spans="18:26" s="1" customFormat="1">
      <c r="R113" s="72"/>
      <c r="S113" s="72"/>
      <c r="T113" s="72"/>
      <c r="U113" s="72"/>
      <c r="V113" s="72"/>
      <c r="W113" s="72"/>
      <c r="X113" s="72"/>
      <c r="Y113" s="72"/>
      <c r="Z113" s="72"/>
    </row>
    <row r="114" spans="18:26" s="1" customFormat="1">
      <c r="R114" s="72"/>
      <c r="S114" s="72"/>
      <c r="T114" s="72"/>
      <c r="U114" s="72"/>
      <c r="V114" s="72"/>
      <c r="W114" s="72"/>
      <c r="X114" s="72"/>
      <c r="Y114" s="72"/>
      <c r="Z114" s="72"/>
    </row>
    <row r="115" spans="18:26" s="1" customFormat="1">
      <c r="R115" s="72"/>
      <c r="S115" s="72"/>
      <c r="T115" s="72"/>
      <c r="U115" s="72"/>
      <c r="V115" s="72"/>
      <c r="W115" s="72"/>
      <c r="X115" s="72"/>
      <c r="Y115" s="72"/>
      <c r="Z115" s="72"/>
    </row>
    <row r="116" spans="18:26" s="1" customFormat="1">
      <c r="R116" s="72"/>
      <c r="S116" s="72"/>
      <c r="T116" s="72"/>
      <c r="U116" s="72"/>
      <c r="V116" s="72"/>
      <c r="W116" s="72"/>
      <c r="X116" s="72"/>
      <c r="Y116" s="72"/>
      <c r="Z116" s="72"/>
    </row>
    <row r="117" spans="18:26" s="1" customFormat="1">
      <c r="R117" s="72"/>
      <c r="S117" s="72"/>
      <c r="T117" s="72"/>
      <c r="U117" s="72"/>
      <c r="V117" s="72"/>
      <c r="W117" s="72"/>
      <c r="X117" s="72"/>
      <c r="Y117" s="72"/>
      <c r="Z117" s="72"/>
    </row>
    <row r="118" spans="18:26" s="1" customFormat="1">
      <c r="R118" s="72"/>
      <c r="S118" s="72"/>
      <c r="T118" s="72"/>
      <c r="U118" s="72"/>
      <c r="V118" s="72"/>
      <c r="W118" s="72"/>
      <c r="X118" s="72"/>
      <c r="Y118" s="72"/>
      <c r="Z118" s="72"/>
    </row>
    <row r="119" spans="18:26" s="1" customFormat="1">
      <c r="R119" s="72"/>
      <c r="S119" s="72"/>
      <c r="T119" s="72"/>
      <c r="U119" s="72"/>
      <c r="V119" s="72"/>
      <c r="W119" s="72"/>
      <c r="X119" s="72"/>
      <c r="Y119" s="72"/>
      <c r="Z119" s="72"/>
    </row>
    <row r="120" spans="18:26" s="1" customFormat="1">
      <c r="R120" s="72"/>
      <c r="S120" s="72"/>
      <c r="T120" s="72"/>
      <c r="U120" s="72"/>
      <c r="V120" s="72"/>
      <c r="W120" s="72"/>
      <c r="X120" s="72"/>
      <c r="Y120" s="72"/>
      <c r="Z120" s="72"/>
    </row>
    <row r="121" spans="18:26" s="1" customFormat="1">
      <c r="R121" s="72"/>
      <c r="S121" s="72"/>
      <c r="T121" s="72"/>
      <c r="U121" s="72"/>
      <c r="V121" s="72"/>
      <c r="W121" s="72"/>
      <c r="X121" s="72"/>
      <c r="Y121" s="72"/>
      <c r="Z121" s="72"/>
    </row>
    <row r="122" spans="18:26" s="1" customFormat="1">
      <c r="R122" s="72"/>
      <c r="S122" s="72"/>
      <c r="T122" s="72"/>
      <c r="U122" s="72"/>
      <c r="V122" s="72"/>
      <c r="W122" s="72"/>
      <c r="X122" s="72"/>
      <c r="Y122" s="72"/>
      <c r="Z122" s="72"/>
    </row>
    <row r="123" spans="18:26" s="1" customFormat="1">
      <c r="R123" s="72"/>
      <c r="S123" s="72"/>
      <c r="T123" s="72"/>
      <c r="U123" s="72"/>
      <c r="V123" s="72"/>
      <c r="W123" s="72"/>
      <c r="X123" s="72"/>
      <c r="Y123" s="72"/>
      <c r="Z123" s="72"/>
    </row>
    <row r="124" spans="18:26" s="1" customFormat="1">
      <c r="R124" s="72"/>
      <c r="S124" s="72"/>
      <c r="T124" s="72"/>
      <c r="U124" s="72"/>
      <c r="V124" s="72"/>
      <c r="W124" s="72"/>
      <c r="X124" s="72"/>
      <c r="Y124" s="72"/>
      <c r="Z124" s="72"/>
    </row>
    <row r="125" spans="18:26" s="1" customFormat="1">
      <c r="R125" s="72"/>
      <c r="S125" s="72"/>
      <c r="T125" s="72"/>
      <c r="U125" s="72"/>
      <c r="V125" s="72"/>
      <c r="W125" s="72"/>
      <c r="X125" s="72"/>
      <c r="Y125" s="72"/>
      <c r="Z125" s="72"/>
    </row>
    <row r="126" spans="18:26" s="1" customFormat="1">
      <c r="R126" s="72"/>
      <c r="S126" s="72"/>
      <c r="T126" s="72"/>
      <c r="U126" s="72"/>
      <c r="V126" s="72"/>
      <c r="W126" s="72"/>
      <c r="X126" s="72"/>
      <c r="Y126" s="72"/>
      <c r="Z126" s="72"/>
    </row>
    <row r="127" spans="18:26" s="1" customFormat="1">
      <c r="R127" s="72"/>
      <c r="S127" s="72"/>
      <c r="T127" s="72"/>
      <c r="U127" s="72"/>
      <c r="V127" s="72"/>
      <c r="W127" s="72"/>
      <c r="X127" s="72"/>
      <c r="Y127" s="72"/>
      <c r="Z127" s="72"/>
    </row>
    <row r="128" spans="18:26" s="1" customFormat="1">
      <c r="R128" s="72"/>
      <c r="S128" s="72"/>
      <c r="T128" s="72"/>
      <c r="U128" s="72"/>
      <c r="V128" s="72"/>
      <c r="W128" s="72"/>
      <c r="X128" s="72"/>
      <c r="Y128" s="72"/>
      <c r="Z128" s="72"/>
    </row>
    <row r="129" spans="18:26" s="1" customFormat="1">
      <c r="R129" s="72"/>
      <c r="S129" s="72"/>
      <c r="T129" s="72"/>
      <c r="U129" s="72"/>
      <c r="V129" s="72"/>
      <c r="W129" s="72"/>
      <c r="X129" s="72"/>
      <c r="Y129" s="72"/>
      <c r="Z129" s="72"/>
    </row>
    <row r="130" spans="18:26" s="1" customFormat="1">
      <c r="R130" s="72"/>
      <c r="S130" s="72"/>
      <c r="T130" s="72"/>
      <c r="U130" s="72"/>
      <c r="V130" s="72"/>
      <c r="W130" s="72"/>
      <c r="X130" s="72"/>
      <c r="Y130" s="72"/>
      <c r="Z130" s="72"/>
    </row>
    <row r="131" spans="18:26" s="1" customFormat="1">
      <c r="R131" s="72"/>
      <c r="S131" s="72"/>
      <c r="T131" s="72"/>
      <c r="U131" s="72"/>
      <c r="V131" s="72"/>
      <c r="W131" s="72"/>
      <c r="X131" s="72"/>
      <c r="Y131" s="72"/>
      <c r="Z131" s="72"/>
    </row>
    <row r="132" spans="18:26" s="1" customFormat="1">
      <c r="R132" s="72"/>
      <c r="S132" s="72"/>
      <c r="T132" s="72"/>
      <c r="U132" s="72"/>
      <c r="V132" s="72"/>
      <c r="W132" s="72"/>
      <c r="X132" s="72"/>
      <c r="Y132" s="72"/>
      <c r="Z132" s="72"/>
    </row>
    <row r="133" spans="18:26" s="1" customFormat="1">
      <c r="R133" s="72"/>
      <c r="S133" s="72"/>
      <c r="T133" s="72"/>
      <c r="U133" s="72"/>
      <c r="V133" s="72"/>
      <c r="W133" s="72"/>
      <c r="X133" s="72"/>
      <c r="Y133" s="72"/>
      <c r="Z133" s="72"/>
    </row>
    <row r="134" spans="18:26" s="1" customFormat="1">
      <c r="R134" s="72"/>
      <c r="S134" s="72"/>
      <c r="T134" s="72"/>
      <c r="U134" s="72"/>
      <c r="V134" s="72"/>
      <c r="W134" s="72"/>
      <c r="X134" s="72"/>
      <c r="Y134" s="72"/>
      <c r="Z134" s="72"/>
    </row>
    <row r="135" spans="18:26" s="1" customFormat="1">
      <c r="R135" s="72"/>
      <c r="S135" s="72"/>
      <c r="T135" s="72"/>
      <c r="U135" s="72"/>
      <c r="V135" s="72"/>
      <c r="W135" s="72"/>
      <c r="X135" s="72"/>
      <c r="Y135" s="72"/>
      <c r="Z135" s="72"/>
    </row>
    <row r="136" spans="18:26" s="1" customFormat="1">
      <c r="R136" s="72"/>
      <c r="S136" s="72"/>
      <c r="T136" s="72"/>
      <c r="U136" s="72"/>
      <c r="V136" s="72"/>
      <c r="W136" s="72"/>
      <c r="X136" s="72"/>
      <c r="Y136" s="72"/>
      <c r="Z136" s="72"/>
    </row>
    <row r="137" spans="18:26" s="1" customFormat="1">
      <c r="R137" s="72"/>
      <c r="S137" s="72"/>
      <c r="T137" s="72"/>
      <c r="U137" s="72"/>
      <c r="V137" s="72"/>
      <c r="W137" s="72"/>
      <c r="X137" s="72"/>
      <c r="Y137" s="72"/>
      <c r="Z137" s="72"/>
    </row>
    <row r="138" spans="18:26" s="1" customFormat="1">
      <c r="R138" s="72"/>
      <c r="S138" s="72"/>
      <c r="T138" s="72"/>
      <c r="U138" s="72"/>
      <c r="V138" s="72"/>
      <c r="W138" s="72"/>
      <c r="X138" s="72"/>
      <c r="Y138" s="72"/>
      <c r="Z138" s="72"/>
    </row>
    <row r="139" spans="18:26" s="1" customFormat="1">
      <c r="R139" s="72"/>
      <c r="S139" s="72"/>
      <c r="T139" s="72"/>
      <c r="U139" s="72"/>
      <c r="V139" s="72"/>
      <c r="W139" s="72"/>
      <c r="X139" s="72"/>
      <c r="Y139" s="72"/>
      <c r="Z139" s="72"/>
    </row>
    <row r="140" spans="18:26" s="1" customFormat="1">
      <c r="R140" s="72"/>
      <c r="S140" s="72"/>
      <c r="T140" s="72"/>
      <c r="U140" s="72"/>
      <c r="V140" s="72"/>
      <c r="W140" s="72"/>
      <c r="X140" s="72"/>
      <c r="Y140" s="72"/>
      <c r="Z140" s="72"/>
    </row>
    <row r="141" spans="18:26" s="1" customFormat="1">
      <c r="R141" s="72"/>
      <c r="S141" s="72"/>
      <c r="T141" s="72"/>
      <c r="U141" s="72"/>
      <c r="V141" s="72"/>
      <c r="W141" s="72"/>
      <c r="X141" s="72"/>
      <c r="Y141" s="72"/>
      <c r="Z141" s="72"/>
    </row>
  </sheetData>
  <mergeCells count="42">
    <mergeCell ref="Q50:T52"/>
    <mergeCell ref="P41:Q41"/>
    <mergeCell ref="L42:N42"/>
    <mergeCell ref="L47:N47"/>
    <mergeCell ref="L43:N43"/>
    <mergeCell ref="L44:N44"/>
    <mergeCell ref="L45:N45"/>
    <mergeCell ref="L46:N46"/>
    <mergeCell ref="L48:N48"/>
    <mergeCell ref="L32:N32"/>
    <mergeCell ref="J41:K41"/>
    <mergeCell ref="L41:N41"/>
    <mergeCell ref="F35:H35"/>
    <mergeCell ref="F36:I36"/>
    <mergeCell ref="F37:I37"/>
    <mergeCell ref="F38:I38"/>
    <mergeCell ref="L38:N38"/>
    <mergeCell ref="L39:N39"/>
    <mergeCell ref="L40:N40"/>
    <mergeCell ref="F39:I39"/>
    <mergeCell ref="M36:N36"/>
    <mergeCell ref="A3:A4"/>
    <mergeCell ref="B4:C4"/>
    <mergeCell ref="D4:E4"/>
    <mergeCell ref="F4:G4"/>
    <mergeCell ref="L23:N23"/>
    <mergeCell ref="O36:P36"/>
    <mergeCell ref="H4:I4"/>
    <mergeCell ref="J4:K4"/>
    <mergeCell ref="L4:M4"/>
    <mergeCell ref="N4:O4"/>
    <mergeCell ref="P4:Q4"/>
    <mergeCell ref="L24:N24"/>
    <mergeCell ref="F28:H28"/>
    <mergeCell ref="F30:H30"/>
    <mergeCell ref="F26:H26"/>
    <mergeCell ref="F27:H27"/>
    <mergeCell ref="F33:H33"/>
    <mergeCell ref="F34:H34"/>
    <mergeCell ref="F31:H31"/>
    <mergeCell ref="L31:N31"/>
    <mergeCell ref="F32:H32"/>
  </mergeCells>
  <phoneticPr fontId="8" type="noConversion"/>
  <conditionalFormatting sqref="K30 K38 K42 K46">
    <cfRule type="cellIs" dxfId="192" priority="36" stopIfTrue="1" operator="equal">
      <formula>G27</formula>
    </cfRule>
  </conditionalFormatting>
  <conditionalFormatting sqref="A59:D66 C52:D53 E59:G65 F51:G53 H51:J51 K27 K29 K31:K32 K39:K41 K43:K45 K57:L66 R53:S65540 U49:V49 N57:N65540 W16:IV50 K47:K48 U51 E38:E53 U39:V46 V16:V38">
    <cfRule type="cellIs" dxfId="191" priority="44" stopIfTrue="1" operator="equal">
      <formula>0</formula>
    </cfRule>
  </conditionalFormatting>
  <conditionalFormatting sqref="F50:H50">
    <cfRule type="cellIs" dxfId="190" priority="49" stopIfTrue="1" operator="equal">
      <formula>""</formula>
    </cfRule>
  </conditionalFormatting>
  <conditionalFormatting sqref="S4">
    <cfRule type="cellIs" dxfId="189" priority="2" stopIfTrue="1" operator="equal">
      <formula>#REF!</formula>
    </cfRule>
  </conditionalFormatting>
  <conditionalFormatting sqref="G2 C3 F3 O5:U5 C5:E5 G5:I5 K5:M5 Q3">
    <cfRule type="cellIs" dxfId="188" priority="12" stopIfTrue="1" operator="equal">
      <formula>#REF!</formula>
    </cfRule>
  </conditionalFormatting>
  <conditionalFormatting sqref="E6:E15 I6:I15 M6:M15 Q6:Q15">
    <cfRule type="cellIs" dxfId="187" priority="13" stopIfTrue="1" operator="equal">
      <formula>"1er"</formula>
    </cfRule>
    <cfRule type="cellIs" dxfId="186" priority="14" stopIfTrue="1" operator="equal">
      <formula>"2ème"</formula>
    </cfRule>
    <cfRule type="cellIs" dxfId="185" priority="15" stopIfTrue="1" operator="equal">
      <formula>"3ème"</formula>
    </cfRule>
  </conditionalFormatting>
  <conditionalFormatting sqref="S6:U15">
    <cfRule type="cellIs" dxfId="184" priority="16" stopIfTrue="1" operator="equal">
      <formula>0</formula>
    </cfRule>
  </conditionalFormatting>
  <conditionalFormatting sqref="B6:B15 F6:F15 J6:J15 N6:N13 N15">
    <cfRule type="cellIs" dxfId="183" priority="17" stopIfTrue="1" operator="equal">
      <formula>"rég"</formula>
    </cfRule>
    <cfRule type="cellIs" dxfId="182" priority="18" stopIfTrue="1" operator="equal">
      <formula>"D1"</formula>
    </cfRule>
  </conditionalFormatting>
  <conditionalFormatting sqref="E14:F14 I14:J14 M14 Q14">
    <cfRule type="colorScale" priority="11">
      <colorScale>
        <cfvo type="min"/>
        <cfvo type="percentile" val="50"/>
        <cfvo type="max"/>
        <color rgb="FFF8696B"/>
        <color rgb="FFFFEB84"/>
        <color rgb="FF63BE7B"/>
      </colorScale>
    </cfRule>
  </conditionalFormatting>
  <conditionalFormatting sqref="B6:B15 F6:F15 J6:J15 N6:N13 N15">
    <cfRule type="cellIs" dxfId="181" priority="10" operator="equal">
      <formula>"nat2"</formula>
    </cfRule>
  </conditionalFormatting>
  <conditionalFormatting sqref="T3">
    <cfRule type="cellIs" dxfId="180" priority="9" stopIfTrue="1" operator="equal">
      <formula>#REF!</formula>
    </cfRule>
  </conditionalFormatting>
  <conditionalFormatting sqref="M3">
    <cfRule type="cellIs" dxfId="179" priority="19" stopIfTrue="1" operator="equal">
      <formula>F5</formula>
    </cfRule>
  </conditionalFormatting>
  <conditionalFormatting sqref="U3 S3 N3:P3 G3:H3 D3:E3 J3:L3 J5 N5 F4:F5 B5 D4 H4 L4 P4">
    <cfRule type="cellIs" dxfId="178" priority="8" stopIfTrue="1" operator="equal">
      <formula>#REF!</formula>
    </cfRule>
  </conditionalFormatting>
  <conditionalFormatting sqref="I3">
    <cfRule type="cellIs" dxfId="177" priority="20" stopIfTrue="1" operator="equal">
      <formula>E4</formula>
    </cfRule>
  </conditionalFormatting>
  <conditionalFormatting sqref="J4 N4 B4">
    <cfRule type="cellIs" dxfId="176" priority="21" stopIfTrue="1" operator="equal">
      <formula>A4</formula>
    </cfRule>
  </conditionalFormatting>
  <conditionalFormatting sqref="F4">
    <cfRule type="cellIs" dxfId="175" priority="7" stopIfTrue="1" operator="equal">
      <formula>D4</formula>
    </cfRule>
  </conditionalFormatting>
  <conditionalFormatting sqref="J4">
    <cfRule type="cellIs" dxfId="174" priority="6" stopIfTrue="1" operator="equal">
      <formula>H4</formula>
    </cfRule>
  </conditionalFormatting>
  <conditionalFormatting sqref="N4">
    <cfRule type="cellIs" dxfId="173" priority="5" stopIfTrue="1" operator="equal">
      <formula>L4</formula>
    </cfRule>
  </conditionalFormatting>
  <conditionalFormatting sqref="K3:M3">
    <cfRule type="cellIs" dxfId="172" priority="4" stopIfTrue="1" operator="equal">
      <formula>#REF!</formula>
    </cfRule>
  </conditionalFormatting>
  <conditionalFormatting sqref="T4">
    <cfRule type="cellIs" dxfId="171" priority="3" stopIfTrue="1" operator="equal">
      <formula>#REF!</formula>
    </cfRule>
  </conditionalFormatting>
  <conditionalFormatting sqref="H18:H19 I19 J18:J19 K19">
    <cfRule type="cellIs" dxfId="170" priority="1" stopIfTrue="1" operator="equal">
      <formula>#REF!</formula>
    </cfRule>
  </conditionalFormatting>
  <conditionalFormatting sqref="K26">
    <cfRule type="cellIs" dxfId="169" priority="191" stopIfTrue="1" operator="equal">
      <formula>H22</formula>
    </cfRule>
  </conditionalFormatting>
  <dataValidations count="4">
    <dataValidation type="list" allowBlank="1" showErrorMessage="1" sqref="L46:L48 L42:L44 L38:L40 F42:H46 L31:L32 F27:F28 F30:F35 L23:L24 A44:A48">
      <formula1>compét</formula1>
      <formula2>0</formula2>
    </dataValidation>
    <dataValidation type="list" allowBlank="1" showInputMessage="1" showErrorMessage="1" sqref="D42 D38 D34">
      <formula1>$AW$1:$AZ$1</formula1>
    </dataValidation>
    <dataValidation type="list" allowBlank="1" showInputMessage="1" showErrorMessage="1" sqref="B35 L18:L22">
      <formula1>$AC$49:$AC$93</formula1>
    </dataValidation>
    <dataValidation type="list" allowBlank="1" showInputMessage="1" showErrorMessage="1" sqref="A18:A19 A21 A29:A36 A24:A27 L27:L30">
      <formula1>$AC$49:$AC$95</formula1>
    </dataValidation>
  </dataValidations>
  <printOptions horizontalCentered="1" verticalCentered="1"/>
  <pageMargins left="0.19685039370078741" right="0.15748031496062992" top="0.15748031496062992" bottom="0.15748031496062992" header="0.11811023622047245" footer="0.15748031496062992"/>
  <pageSetup paperSize="9" scale="84" firstPageNumber="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Normal="100" workbookViewId="0">
      <selection activeCell="G5" sqref="G5"/>
    </sheetView>
  </sheetViews>
  <sheetFormatPr baseColWidth="10" defaultRowHeight="15"/>
  <cols>
    <col min="1" max="1" width="31.140625" style="1313" customWidth="1"/>
    <col min="2" max="2" width="17.7109375" style="1313" customWidth="1"/>
    <col min="3" max="3" width="19.28515625" style="1313" customWidth="1"/>
    <col min="4" max="4" width="31.28515625" style="1313" customWidth="1"/>
    <col min="5" max="5" width="14.42578125" style="1313" customWidth="1"/>
    <col min="6" max="6" width="15.5703125" style="1313" customWidth="1"/>
    <col min="7" max="7" width="11.42578125" style="1313"/>
    <col min="8" max="8" width="18.140625" style="1313" customWidth="1"/>
    <col min="9" max="16384" width="11.42578125" style="1313"/>
  </cols>
  <sheetData>
    <row r="1" spans="1:3" ht="23.25">
      <c r="B1" s="1314" t="s">
        <v>643</v>
      </c>
    </row>
    <row r="2" spans="1:3" ht="23.25">
      <c r="A2" s="1314"/>
    </row>
    <row r="3" spans="1:3" ht="24">
      <c r="A3" s="1399" t="s">
        <v>28</v>
      </c>
    </row>
    <row r="4" spans="1:3" ht="24">
      <c r="A4" s="1399" t="s">
        <v>29</v>
      </c>
    </row>
    <row r="5" spans="1:3" ht="24">
      <c r="A5" s="1399" t="s">
        <v>30</v>
      </c>
    </row>
    <row r="6" spans="1:3" ht="24">
      <c r="A6" s="1399" t="s">
        <v>644</v>
      </c>
    </row>
    <row r="7" spans="1:3" ht="24">
      <c r="A7" s="1399" t="s">
        <v>31</v>
      </c>
    </row>
    <row r="8" spans="1:3" ht="24">
      <c r="A8" s="1399" t="s">
        <v>32</v>
      </c>
    </row>
    <row r="9" spans="1:3" ht="24">
      <c r="A9" s="1399" t="s">
        <v>33</v>
      </c>
    </row>
    <row r="10" spans="1:3" ht="24">
      <c r="A10" s="1399" t="s">
        <v>34</v>
      </c>
    </row>
    <row r="11" spans="1:3" ht="24">
      <c r="A11" s="1399" t="s">
        <v>35</v>
      </c>
    </row>
    <row r="12" spans="1:3" ht="24">
      <c r="A12" s="1399" t="s">
        <v>645</v>
      </c>
    </row>
    <row r="13" spans="1:3" ht="24">
      <c r="A13" s="1399" t="s">
        <v>707</v>
      </c>
    </row>
    <row r="14" spans="1:3" ht="52.5" customHeight="1"/>
    <row r="15" spans="1:3" ht="23.25">
      <c r="C15" s="1315" t="s">
        <v>646</v>
      </c>
    </row>
    <row r="16" spans="1:3" ht="23.25">
      <c r="C16" s="1315"/>
    </row>
    <row r="17" spans="1:6" ht="18">
      <c r="A17" s="1316" t="s">
        <v>657</v>
      </c>
      <c r="B17" s="1316"/>
      <c r="C17" s="1316"/>
      <c r="D17" s="1316"/>
      <c r="E17" s="1316"/>
      <c r="F17" s="1316"/>
    </row>
    <row r="18" spans="1:6">
      <c r="A18" s="1317"/>
      <c r="B18" s="1318" t="s">
        <v>39</v>
      </c>
      <c r="C18" s="1318"/>
      <c r="D18" s="1317"/>
      <c r="E18" s="1318" t="s">
        <v>40</v>
      </c>
      <c r="F18" s="1318"/>
    </row>
    <row r="19" spans="1:6">
      <c r="A19" s="1319"/>
      <c r="B19" s="1320" t="s">
        <v>41</v>
      </c>
      <c r="C19" s="1320" t="s">
        <v>42</v>
      </c>
      <c r="D19" s="1319"/>
      <c r="E19" s="1320" t="s">
        <v>41</v>
      </c>
      <c r="F19" s="1320" t="s">
        <v>42</v>
      </c>
    </row>
    <row r="20" spans="1:6">
      <c r="A20" s="1321"/>
      <c r="B20" s="1322"/>
      <c r="C20" s="1323"/>
      <c r="D20" s="1321"/>
      <c r="E20" s="1322"/>
      <c r="F20" s="1320"/>
    </row>
    <row r="21" spans="1:6">
      <c r="A21" s="1324" t="s">
        <v>43</v>
      </c>
      <c r="B21" s="1322">
        <f>SUM(B22:B27)</f>
        <v>4559.5</v>
      </c>
      <c r="C21" s="1325">
        <v>4505</v>
      </c>
      <c r="D21" s="1324" t="s">
        <v>44</v>
      </c>
      <c r="E21" s="1322">
        <v>4301</v>
      </c>
      <c r="F21" s="1326">
        <v>3912</v>
      </c>
    </row>
    <row r="22" spans="1:6">
      <c r="A22" s="1327" t="s">
        <v>658</v>
      </c>
      <c r="B22" s="1328">
        <v>359</v>
      </c>
      <c r="C22" s="1329"/>
      <c r="D22" s="1330"/>
      <c r="E22" s="1330"/>
      <c r="F22" s="1331"/>
    </row>
    <row r="23" spans="1:6">
      <c r="A23" s="1327" t="s">
        <v>659</v>
      </c>
      <c r="B23" s="1328">
        <v>2591</v>
      </c>
      <c r="C23" s="1332"/>
      <c r="D23" s="1324" t="s">
        <v>660</v>
      </c>
      <c r="E23" s="1333">
        <f xml:space="preserve"> SUM(E24:E26)</f>
        <v>2065</v>
      </c>
      <c r="F23" s="1331">
        <v>1605</v>
      </c>
    </row>
    <row r="24" spans="1:6">
      <c r="A24" s="1327" t="s">
        <v>376</v>
      </c>
      <c r="B24" s="1328">
        <v>795.5</v>
      </c>
      <c r="C24" s="1332"/>
      <c r="D24" s="1334" t="s">
        <v>61</v>
      </c>
      <c r="E24" s="1335">
        <v>1930</v>
      </c>
      <c r="F24" s="1331"/>
    </row>
    <row r="25" spans="1:6">
      <c r="A25" s="1327" t="s">
        <v>661</v>
      </c>
      <c r="B25" s="1336">
        <v>240</v>
      </c>
      <c r="C25" s="1332"/>
      <c r="D25" s="1319" t="s">
        <v>662</v>
      </c>
      <c r="E25" s="1336">
        <v>135</v>
      </c>
      <c r="F25" s="1337"/>
    </row>
    <row r="26" spans="1:6">
      <c r="A26" s="1327" t="s">
        <v>663</v>
      </c>
      <c r="B26" s="1336">
        <v>524</v>
      </c>
      <c r="C26" s="1338"/>
      <c r="D26" s="1330" t="s">
        <v>664</v>
      </c>
      <c r="E26" s="1339">
        <v>0</v>
      </c>
      <c r="F26" s="1337"/>
    </row>
    <row r="27" spans="1:6">
      <c r="A27" s="1340" t="s">
        <v>665</v>
      </c>
      <c r="B27" s="1336">
        <v>50</v>
      </c>
      <c r="C27" s="1338"/>
      <c r="D27" s="1330"/>
      <c r="E27" s="1330"/>
      <c r="F27" s="1341"/>
    </row>
    <row r="28" spans="1:6">
      <c r="A28" s="1330"/>
      <c r="B28" s="1330"/>
      <c r="C28" s="1342"/>
      <c r="D28" s="1343"/>
      <c r="E28" s="1343"/>
      <c r="F28" s="1343"/>
    </row>
    <row r="29" spans="1:6">
      <c r="A29" s="1324" t="s">
        <v>666</v>
      </c>
      <c r="B29" s="1344">
        <v>1300</v>
      </c>
      <c r="C29" s="1325">
        <v>1185</v>
      </c>
      <c r="D29" s="1330"/>
      <c r="E29" s="1330"/>
      <c r="F29" s="1330"/>
    </row>
    <row r="30" spans="1:6">
      <c r="A30" s="1330"/>
      <c r="B30" s="1330"/>
      <c r="C30" s="1342"/>
      <c r="D30" s="1343"/>
      <c r="E30" s="1343"/>
      <c r="F30" s="1343"/>
    </row>
    <row r="31" spans="1:6">
      <c r="A31" s="1345" t="s">
        <v>667</v>
      </c>
      <c r="B31" s="1322">
        <f>B32+B33</f>
        <v>382.8</v>
      </c>
      <c r="C31" s="1342">
        <v>508</v>
      </c>
      <c r="D31" s="1346" t="s">
        <v>668</v>
      </c>
      <c r="E31" s="1347">
        <v>305.39999999999998</v>
      </c>
      <c r="F31" s="1348">
        <v>297</v>
      </c>
    </row>
    <row r="32" spans="1:6">
      <c r="A32" s="1327" t="s">
        <v>669</v>
      </c>
      <c r="B32" s="1328">
        <v>240</v>
      </c>
      <c r="C32" s="1342"/>
      <c r="D32" s="1343"/>
      <c r="E32" s="1343"/>
      <c r="F32" s="1343"/>
    </row>
    <row r="33" spans="1:6">
      <c r="A33" s="1327" t="s">
        <v>670</v>
      </c>
      <c r="B33" s="1349">
        <v>142.80000000000001</v>
      </c>
      <c r="C33" s="1342"/>
      <c r="D33" s="1324" t="s">
        <v>52</v>
      </c>
      <c r="E33" s="1322">
        <f>SUM(E34:E40)</f>
        <v>1048.6199999999999</v>
      </c>
      <c r="F33" s="1331">
        <v>250</v>
      </c>
    </row>
    <row r="34" spans="1:6">
      <c r="A34" s="1330"/>
      <c r="B34" s="1330"/>
      <c r="C34" s="1350"/>
      <c r="D34" s="1327" t="s">
        <v>671</v>
      </c>
      <c r="E34" s="1328">
        <v>339.5</v>
      </c>
      <c r="F34" s="1331"/>
    </row>
    <row r="35" spans="1:6">
      <c r="A35" s="1346" t="s">
        <v>672</v>
      </c>
      <c r="B35" s="1351">
        <f>SUM(B36:B41)</f>
        <v>1020.17</v>
      </c>
      <c r="C35" s="1325" t="s">
        <v>673</v>
      </c>
      <c r="D35" s="1327" t="s">
        <v>674</v>
      </c>
      <c r="E35" s="1336">
        <v>120</v>
      </c>
      <c r="F35" s="1331"/>
    </row>
    <row r="36" spans="1:6">
      <c r="A36" s="1334" t="s">
        <v>675</v>
      </c>
      <c r="B36" s="1328">
        <v>80</v>
      </c>
      <c r="C36" s="1332"/>
      <c r="D36" s="1327" t="s">
        <v>676</v>
      </c>
      <c r="E36" s="1352">
        <v>105</v>
      </c>
      <c r="F36" s="1331"/>
    </row>
    <row r="37" spans="1:6">
      <c r="A37" s="1330" t="s">
        <v>677</v>
      </c>
      <c r="B37" s="1353">
        <v>108.94</v>
      </c>
      <c r="C37" s="1332"/>
      <c r="D37" s="1340" t="s">
        <v>678</v>
      </c>
      <c r="E37" s="1354">
        <v>270.12</v>
      </c>
      <c r="F37" s="1331"/>
    </row>
    <row r="38" spans="1:6">
      <c r="A38" s="1330" t="s">
        <v>679</v>
      </c>
      <c r="B38" s="1353">
        <v>572.1</v>
      </c>
      <c r="C38" s="1325"/>
      <c r="D38" s="1340" t="s">
        <v>680</v>
      </c>
      <c r="E38" s="1335">
        <v>70</v>
      </c>
      <c r="F38" s="1331"/>
    </row>
    <row r="39" spans="1:6">
      <c r="A39" s="1327" t="s">
        <v>681</v>
      </c>
      <c r="B39" s="1355">
        <v>148.87</v>
      </c>
      <c r="C39" s="1332"/>
      <c r="D39" s="1327" t="s">
        <v>682</v>
      </c>
      <c r="E39" s="1349">
        <v>51</v>
      </c>
      <c r="F39" s="1331"/>
    </row>
    <row r="40" spans="1:6">
      <c r="A40" s="1327" t="s">
        <v>683</v>
      </c>
      <c r="B40" s="1356">
        <v>89.99</v>
      </c>
      <c r="C40" s="1332"/>
      <c r="D40" s="1327" t="s">
        <v>684</v>
      </c>
      <c r="E40" s="1357">
        <v>93</v>
      </c>
      <c r="F40" s="1337"/>
    </row>
    <row r="41" spans="1:6">
      <c r="A41" s="1327" t="s">
        <v>685</v>
      </c>
      <c r="B41" s="1356">
        <v>20.27</v>
      </c>
      <c r="C41" s="1332"/>
      <c r="D41" s="1343"/>
      <c r="E41" s="1343"/>
      <c r="F41" s="1343"/>
    </row>
    <row r="42" spans="1:6">
      <c r="A42" s="1330"/>
      <c r="B42" s="1330"/>
      <c r="C42" s="1350"/>
      <c r="D42" s="1324" t="s">
        <v>63</v>
      </c>
      <c r="E42" s="1358">
        <f>SUM(E43:E49)</f>
        <v>1442.04</v>
      </c>
      <c r="F42" s="1359">
        <v>1388</v>
      </c>
    </row>
    <row r="43" spans="1:6">
      <c r="A43" s="1324" t="s">
        <v>76</v>
      </c>
      <c r="B43" s="1322">
        <f xml:space="preserve"> SUM(B44:B46)</f>
        <v>1127.68</v>
      </c>
      <c r="C43" s="1325" t="s">
        <v>673</v>
      </c>
      <c r="D43" s="1334" t="s">
        <v>65</v>
      </c>
      <c r="E43" s="1328">
        <v>431.04</v>
      </c>
      <c r="F43" s="1360"/>
    </row>
    <row r="44" spans="1:6">
      <c r="A44" s="1327" t="s">
        <v>686</v>
      </c>
      <c r="B44" s="1328">
        <v>254.6</v>
      </c>
      <c r="C44" s="1350"/>
      <c r="D44" s="1361" t="s">
        <v>157</v>
      </c>
      <c r="E44" s="1328">
        <v>70</v>
      </c>
      <c r="F44" s="1360"/>
    </row>
    <row r="45" spans="1:6">
      <c r="A45" s="1327" t="s">
        <v>687</v>
      </c>
      <c r="B45" s="1328">
        <v>742.5</v>
      </c>
      <c r="C45" s="1350"/>
      <c r="D45" s="1334" t="s">
        <v>688</v>
      </c>
      <c r="E45" s="1336">
        <v>0</v>
      </c>
      <c r="F45" s="1360"/>
    </row>
    <row r="46" spans="1:6">
      <c r="A46" s="1327" t="s">
        <v>689</v>
      </c>
      <c r="B46" s="1328">
        <v>130.58000000000001</v>
      </c>
      <c r="C46" s="1350"/>
      <c r="D46" s="1327" t="s">
        <v>690</v>
      </c>
      <c r="E46" s="1362">
        <v>920</v>
      </c>
      <c r="F46" s="1360"/>
    </row>
    <row r="47" spans="1:6">
      <c r="A47" s="1330"/>
      <c r="B47" s="1330"/>
      <c r="C47" s="1325"/>
      <c r="D47" s="1334" t="s">
        <v>691</v>
      </c>
      <c r="E47" s="1352">
        <v>21</v>
      </c>
      <c r="F47" s="1360"/>
    </row>
    <row r="48" spans="1:6">
      <c r="A48" s="1324" t="s">
        <v>73</v>
      </c>
      <c r="B48" s="1363">
        <f>B49</f>
        <v>1933.05</v>
      </c>
      <c r="C48" s="1325">
        <v>1607</v>
      </c>
      <c r="D48" s="1334" t="s">
        <v>692</v>
      </c>
      <c r="E48" s="1336">
        <v>0</v>
      </c>
      <c r="F48" s="1360"/>
    </row>
    <row r="49" spans="1:9">
      <c r="A49" s="1327" t="s">
        <v>693</v>
      </c>
      <c r="B49" s="1364">
        <v>1933.05</v>
      </c>
      <c r="C49" s="1325"/>
      <c r="D49" s="1334" t="s">
        <v>374</v>
      </c>
      <c r="E49" s="1354">
        <v>0</v>
      </c>
      <c r="F49" s="1360"/>
    </row>
    <row r="50" spans="1:9">
      <c r="A50" s="1330"/>
      <c r="B50" s="1330"/>
      <c r="C50" s="1332"/>
      <c r="D50" s="1343"/>
      <c r="E50" s="1343"/>
      <c r="F50" s="1343"/>
    </row>
    <row r="51" spans="1:9">
      <c r="A51" s="1324" t="s">
        <v>51</v>
      </c>
      <c r="B51" s="1322">
        <f>B52</f>
        <v>90</v>
      </c>
      <c r="C51" s="1350">
        <v>90</v>
      </c>
      <c r="D51" s="1324" t="s">
        <v>74</v>
      </c>
      <c r="E51" s="1322">
        <f xml:space="preserve"> SUM(E52:E54)</f>
        <v>1725</v>
      </c>
      <c r="F51" s="1331">
        <v>1907</v>
      </c>
    </row>
    <row r="52" spans="1:9">
      <c r="A52" s="1327" t="s">
        <v>694</v>
      </c>
      <c r="B52" s="1328">
        <v>90</v>
      </c>
      <c r="C52" s="1322"/>
      <c r="D52" s="1327" t="s">
        <v>695</v>
      </c>
      <c r="E52" s="1336">
        <v>800</v>
      </c>
      <c r="F52" s="1331"/>
    </row>
    <row r="53" spans="1:9">
      <c r="A53" s="1330"/>
      <c r="B53" s="1330"/>
      <c r="C53" s="1325"/>
      <c r="D53" s="1365" t="s">
        <v>696</v>
      </c>
      <c r="E53" s="1357">
        <v>825</v>
      </c>
      <c r="F53" s="1331"/>
    </row>
    <row r="54" spans="1:9">
      <c r="A54" s="1324" t="s">
        <v>62</v>
      </c>
      <c r="B54" s="1344">
        <v>0</v>
      </c>
      <c r="C54" s="1325" t="s">
        <v>673</v>
      </c>
      <c r="D54" s="1366" t="s">
        <v>697</v>
      </c>
      <c r="E54" s="1367">
        <v>100</v>
      </c>
      <c r="F54" s="1337"/>
    </row>
    <row r="55" spans="1:9">
      <c r="A55" s="1321"/>
      <c r="B55" s="1344"/>
      <c r="C55" s="1325"/>
      <c r="D55" s="1330"/>
      <c r="E55" s="1330"/>
      <c r="F55" s="1330"/>
    </row>
    <row r="56" spans="1:9">
      <c r="A56" s="1324" t="s">
        <v>698</v>
      </c>
      <c r="B56" s="1333">
        <v>78.62</v>
      </c>
      <c r="C56" s="1332"/>
      <c r="D56" s="1319"/>
      <c r="E56" s="1328"/>
      <c r="F56" s="1331"/>
    </row>
    <row r="57" spans="1:9">
      <c r="A57" s="1321"/>
      <c r="B57" s="1333"/>
      <c r="C57" s="1332"/>
      <c r="D57" s="1319"/>
      <c r="E57" s="1328"/>
      <c r="F57" s="1331"/>
    </row>
    <row r="58" spans="1:9">
      <c r="A58" s="1324" t="s">
        <v>69</v>
      </c>
      <c r="B58" s="1322">
        <v>1.69</v>
      </c>
      <c r="C58" s="1325">
        <v>9</v>
      </c>
      <c r="D58" s="1324" t="s">
        <v>70</v>
      </c>
      <c r="E58" s="1368">
        <v>14.56</v>
      </c>
      <c r="F58" s="1325" t="s">
        <v>673</v>
      </c>
    </row>
    <row r="59" spans="1:9">
      <c r="A59" s="1321"/>
      <c r="B59" s="1322"/>
      <c r="C59" s="1325"/>
      <c r="D59" s="1321"/>
      <c r="E59" s="1368"/>
      <c r="F59" s="1325"/>
    </row>
    <row r="60" spans="1:9" ht="15.75">
      <c r="A60" s="1369" t="s">
        <v>699</v>
      </c>
      <c r="B60" s="1370">
        <f>B21+B29+B31+B35+B43+B48+B51+B54+B56+B58</f>
        <v>10493.51</v>
      </c>
      <c r="C60" s="1371"/>
      <c r="D60" s="1369" t="s">
        <v>700</v>
      </c>
      <c r="E60" s="1370">
        <f>E58+E42+E33+E51+E23+E21+E31</f>
        <v>10901.619999999999</v>
      </c>
      <c r="F60" s="1372"/>
      <c r="I60" s="1373"/>
    </row>
    <row r="61" spans="1:9" ht="15.75">
      <c r="A61" s="1374" t="s">
        <v>82</v>
      </c>
      <c r="B61" s="1375">
        <f>E60-B60</f>
        <v>408.10999999999876</v>
      </c>
      <c r="C61" s="1376"/>
      <c r="D61" s="1374"/>
      <c r="E61" s="1377"/>
      <c r="F61" s="1376"/>
    </row>
    <row r="62" spans="1:9">
      <c r="A62" s="1378"/>
      <c r="B62" s="1379"/>
      <c r="C62" s="1380"/>
      <c r="D62" s="1378"/>
      <c r="E62" s="1381"/>
      <c r="F62" s="1380"/>
    </row>
    <row r="63" spans="1:9" ht="15.75">
      <c r="A63" s="1382" t="s">
        <v>701</v>
      </c>
      <c r="B63" s="1382"/>
      <c r="C63" s="1382"/>
      <c r="D63" s="1382"/>
      <c r="E63" s="1382"/>
      <c r="F63" s="1382"/>
    </row>
    <row r="64" spans="1:9">
      <c r="A64" s="1383" t="s">
        <v>702</v>
      </c>
      <c r="B64" s="1383"/>
      <c r="C64" s="1383"/>
      <c r="D64" s="1384">
        <v>3481.19</v>
      </c>
      <c r="E64" s="1385"/>
      <c r="F64" s="1386">
        <v>3056.01</v>
      </c>
      <c r="G64" s="1387"/>
    </row>
    <row r="65" spans="1:7">
      <c r="A65" s="1383" t="s">
        <v>87</v>
      </c>
      <c r="B65" s="1383"/>
      <c r="C65" s="1383"/>
      <c r="D65" s="1384">
        <v>1914.09</v>
      </c>
      <c r="E65" s="1388"/>
      <c r="F65" s="1386">
        <v>903.75</v>
      </c>
    </row>
    <row r="66" spans="1:7">
      <c r="A66" s="1383" t="s">
        <v>703</v>
      </c>
      <c r="B66" s="1383"/>
      <c r="C66" s="1383"/>
      <c r="D66" s="1384">
        <v>250</v>
      </c>
      <c r="E66" s="1389"/>
      <c r="F66" s="1386">
        <v>450</v>
      </c>
      <c r="G66" s="1387"/>
    </row>
    <row r="67" spans="1:7">
      <c r="A67" s="1390" t="s">
        <v>704</v>
      </c>
      <c r="B67" s="1383"/>
      <c r="C67" s="1383"/>
      <c r="D67" s="1384">
        <f>SUM(D64:D66)</f>
        <v>5645.28</v>
      </c>
      <c r="E67" s="1391"/>
      <c r="F67" s="1386">
        <v>4409.5600000000004</v>
      </c>
    </row>
    <row r="68" spans="1:7">
      <c r="A68" s="1390"/>
      <c r="B68" s="1383"/>
      <c r="C68" s="1383"/>
      <c r="D68" s="1392"/>
      <c r="E68" s="1393"/>
      <c r="F68" s="1394"/>
    </row>
    <row r="69" spans="1:7">
      <c r="A69" s="1390" t="s">
        <v>705</v>
      </c>
      <c r="B69" s="1383"/>
      <c r="C69" s="1383"/>
      <c r="D69" s="1392"/>
      <c r="E69" s="1393"/>
      <c r="F69" s="1394"/>
    </row>
    <row r="70" spans="1:7">
      <c r="A70" s="1390"/>
      <c r="B70" s="1383"/>
      <c r="C70" s="1383"/>
      <c r="D70" s="1392"/>
      <c r="E70" s="1393"/>
      <c r="F70" s="1394"/>
    </row>
    <row r="71" spans="1:7">
      <c r="A71" s="1395" t="s">
        <v>89</v>
      </c>
      <c r="B71" s="1395" t="s">
        <v>706</v>
      </c>
      <c r="C71" s="1396"/>
      <c r="D71" s="1392"/>
      <c r="E71" s="1392"/>
      <c r="F71" s="1383"/>
    </row>
    <row r="72" spans="1:7">
      <c r="A72" s="1397"/>
      <c r="B72" s="1398"/>
      <c r="C72" s="1397"/>
      <c r="D72" s="1397"/>
      <c r="E72" s="1398"/>
      <c r="F72" s="1397"/>
    </row>
  </sheetData>
  <mergeCells count="4">
    <mergeCell ref="A17:F17"/>
    <mergeCell ref="B18:C18"/>
    <mergeCell ref="E18:F18"/>
    <mergeCell ref="A63:F63"/>
  </mergeCells>
  <pageMargins left="1.299212598425197" right="0.70866141732283472" top="0.74803149606299213" bottom="0.74803149606299213" header="0.31496062992125984" footer="0.31496062992125984"/>
  <pageSetup paperSize="9"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7"/>
    <pageSetUpPr fitToPage="1"/>
  </sheetPr>
  <dimension ref="A1:K76"/>
  <sheetViews>
    <sheetView showZeros="0" workbookViewId="0">
      <selection activeCell="A14" sqref="A14"/>
    </sheetView>
  </sheetViews>
  <sheetFormatPr baseColWidth="10" defaultRowHeight="12.75"/>
  <cols>
    <col min="1" max="1" width="35.140625" customWidth="1"/>
    <col min="2" max="2" width="12.5703125" bestFit="1" customWidth="1"/>
    <col min="4" max="4" width="36.140625" customWidth="1"/>
    <col min="5" max="5" width="12.7109375" bestFit="1" customWidth="1"/>
    <col min="7" max="8" width="11.42578125" style="1"/>
    <col min="9" max="9" width="19.42578125" style="1" bestFit="1" customWidth="1"/>
    <col min="10" max="10" width="11.5703125" style="5" bestFit="1" customWidth="1"/>
  </cols>
  <sheetData>
    <row r="1" spans="1:11" ht="20.25">
      <c r="A1" s="1299" t="s">
        <v>0</v>
      </c>
      <c r="B1" s="1299"/>
      <c r="C1" s="1299"/>
      <c r="D1" s="1299"/>
      <c r="E1" s="1299"/>
      <c r="F1" s="1299"/>
    </row>
    <row r="2" spans="1:11" ht="18">
      <c r="A2" s="1300" t="s">
        <v>38</v>
      </c>
      <c r="B2" s="1300"/>
      <c r="C2" s="1300"/>
      <c r="D2" s="1300"/>
      <c r="E2" s="1300"/>
      <c r="F2" s="1300"/>
      <c r="I2" s="162" t="s">
        <v>153</v>
      </c>
      <c r="J2" s="163">
        <v>12</v>
      </c>
      <c r="K2" s="164"/>
    </row>
    <row r="3" spans="1:11" ht="18">
      <c r="A3" s="1300" t="e">
        <f>"SAISON  "&amp;#REF!&amp;"  ET PREVISIONNEL "</f>
        <v>#REF!</v>
      </c>
      <c r="B3" s="1300"/>
      <c r="C3" s="1300"/>
      <c r="D3" s="1300"/>
      <c r="E3" s="1300"/>
      <c r="F3" s="1300"/>
      <c r="I3" s="158" t="s">
        <v>371</v>
      </c>
      <c r="J3" s="159" t="s">
        <v>155</v>
      </c>
      <c r="K3" s="160"/>
    </row>
    <row r="4" spans="1:11">
      <c r="A4" s="87"/>
      <c r="B4" s="87"/>
      <c r="C4" s="87"/>
      <c r="D4" s="87"/>
      <c r="E4" s="87"/>
      <c r="F4" s="87"/>
      <c r="I4" s="158" t="s">
        <v>372</v>
      </c>
      <c r="J4" s="161" t="s">
        <v>155</v>
      </c>
      <c r="K4" s="160"/>
    </row>
    <row r="5" spans="1:11">
      <c r="A5" s="87"/>
      <c r="B5" s="87"/>
      <c r="C5" s="87"/>
      <c r="D5" s="87"/>
      <c r="E5" s="87"/>
      <c r="F5" s="87"/>
      <c r="I5" s="158" t="s">
        <v>373</v>
      </c>
      <c r="J5" s="161"/>
      <c r="K5" s="160"/>
    </row>
    <row r="6" spans="1:11">
      <c r="A6" s="88"/>
      <c r="B6" s="1301" t="s">
        <v>39</v>
      </c>
      <c r="C6" s="1301"/>
      <c r="D6" s="88"/>
      <c r="E6" s="1301" t="s">
        <v>40</v>
      </c>
      <c r="F6" s="1301"/>
      <c r="I6" s="158"/>
      <c r="J6" s="161"/>
      <c r="K6" s="160"/>
    </row>
    <row r="7" spans="1:11">
      <c r="A7" s="89"/>
      <c r="B7" s="43" t="s">
        <v>41</v>
      </c>
      <c r="C7" s="43" t="s">
        <v>42</v>
      </c>
      <c r="D7" s="89"/>
      <c r="E7" s="43" t="s">
        <v>41</v>
      </c>
      <c r="F7" s="43" t="s">
        <v>42</v>
      </c>
      <c r="I7" s="158"/>
      <c r="J7" s="161"/>
      <c r="K7" s="160"/>
    </row>
    <row r="8" spans="1:11">
      <c r="A8" s="89"/>
      <c r="B8" s="90"/>
      <c r="C8" s="90"/>
      <c r="D8" s="89"/>
      <c r="E8" s="90"/>
      <c r="F8" s="90"/>
      <c r="I8" s="158"/>
      <c r="J8" s="161"/>
      <c r="K8" s="160"/>
    </row>
    <row r="9" spans="1:11">
      <c r="A9" s="91" t="s">
        <v>43</v>
      </c>
      <c r="B9" s="92" t="e">
        <f>SUM(B10:B16)</f>
        <v>#REF!</v>
      </c>
      <c r="C9" s="92"/>
      <c r="D9" s="91" t="s">
        <v>44</v>
      </c>
      <c r="E9" s="92" t="e">
        <f>SUM(E11:E15)</f>
        <v>#REF!</v>
      </c>
      <c r="F9" s="92"/>
      <c r="I9" s="158"/>
      <c r="J9" s="161"/>
      <c r="K9" s="160"/>
    </row>
    <row r="10" spans="1:11">
      <c r="A10" s="89"/>
      <c r="B10" s="90"/>
      <c r="C10" s="90"/>
      <c r="D10" s="89"/>
      <c r="E10" s="90"/>
      <c r="F10" s="90"/>
      <c r="I10" s="158"/>
      <c r="J10" s="161"/>
      <c r="K10" s="160"/>
    </row>
    <row r="11" spans="1:11">
      <c r="A11" s="89" t="s">
        <v>45</v>
      </c>
      <c r="B11" s="93" t="e">
        <f>#REF!+#REF!</f>
        <v>#REF!</v>
      </c>
      <c r="C11" s="93"/>
      <c r="D11" s="89" t="s">
        <v>46</v>
      </c>
      <c r="E11" s="93" t="e">
        <f>#REF!</f>
        <v>#REF!</v>
      </c>
      <c r="F11" s="93"/>
      <c r="I11" s="158"/>
      <c r="J11" s="161"/>
      <c r="K11" s="160"/>
    </row>
    <row r="12" spans="1:11">
      <c r="A12" s="89" t="s">
        <v>47</v>
      </c>
      <c r="B12" s="93" t="e">
        <f>#REF!+#REF!+#REF!</f>
        <v>#REF!</v>
      </c>
      <c r="C12" s="93"/>
      <c r="D12" s="89" t="s">
        <v>48</v>
      </c>
      <c r="E12" s="93" t="e">
        <f>#REF!</f>
        <v>#REF!</v>
      </c>
      <c r="F12" s="93"/>
      <c r="I12" s="158"/>
      <c r="J12" s="161"/>
      <c r="K12" s="160"/>
    </row>
    <row r="13" spans="1:11">
      <c r="A13" s="89" t="s">
        <v>376</v>
      </c>
      <c r="B13" s="93" t="e">
        <f>#REF!</f>
        <v>#REF!</v>
      </c>
      <c r="C13" s="93"/>
      <c r="D13" s="89" t="s">
        <v>49</v>
      </c>
      <c r="E13" s="93" t="e">
        <f>#REF!</f>
        <v>#REF!</v>
      </c>
      <c r="F13" s="93"/>
      <c r="I13" s="158"/>
      <c r="J13" s="161"/>
      <c r="K13" s="160"/>
    </row>
    <row r="14" spans="1:11">
      <c r="A14" s="89" t="s">
        <v>50</v>
      </c>
      <c r="B14" s="99" t="e">
        <f>#REF!*#REF!</f>
        <v>#REF!</v>
      </c>
      <c r="C14" s="94"/>
      <c r="D14" s="89"/>
      <c r="E14" s="96"/>
      <c r="F14" s="94"/>
      <c r="I14" s="158"/>
      <c r="J14" s="161"/>
      <c r="K14" s="160"/>
    </row>
    <row r="15" spans="1:11">
      <c r="A15" s="89" t="s">
        <v>49</v>
      </c>
      <c r="B15" s="99" t="e">
        <f>#REF!*#REF!+#REF!*#REF!+#REF!*#REF!</f>
        <v>#REF!</v>
      </c>
      <c r="C15" s="94"/>
      <c r="D15" s="89"/>
      <c r="E15" s="96"/>
      <c r="F15" s="96"/>
      <c r="I15" s="158"/>
      <c r="J15" s="161"/>
      <c r="K15" s="160"/>
    </row>
    <row r="16" spans="1:11">
      <c r="A16" s="95"/>
      <c r="B16" s="97"/>
      <c r="C16" s="97"/>
      <c r="D16" s="89"/>
      <c r="E16" s="97"/>
      <c r="F16" s="97"/>
      <c r="I16" s="158"/>
      <c r="J16" s="161"/>
      <c r="K16" s="160"/>
    </row>
    <row r="17" spans="1:11">
      <c r="A17" s="91" t="s">
        <v>51</v>
      </c>
      <c r="B17" s="92" t="e">
        <f>SUM(B18:B22)</f>
        <v>#REF!</v>
      </c>
      <c r="C17" s="92"/>
      <c r="D17" s="91" t="s">
        <v>52</v>
      </c>
      <c r="E17" s="92"/>
      <c r="F17" s="92"/>
      <c r="I17" s="158"/>
      <c r="J17" s="161"/>
      <c r="K17" s="160"/>
    </row>
    <row r="18" spans="1:11">
      <c r="A18" s="89"/>
      <c r="B18" s="98"/>
      <c r="C18" s="98"/>
      <c r="D18" s="89"/>
      <c r="E18" s="98"/>
      <c r="F18" s="98"/>
      <c r="I18" s="158"/>
      <c r="J18" s="161"/>
      <c r="K18" s="160"/>
    </row>
    <row r="19" spans="1:11">
      <c r="A19" s="89" t="s">
        <v>53</v>
      </c>
      <c r="B19" s="96"/>
      <c r="C19" s="96"/>
      <c r="D19" s="89" t="s">
        <v>54</v>
      </c>
      <c r="E19" s="93"/>
      <c r="F19" s="93"/>
      <c r="I19" s="158"/>
      <c r="J19" s="161"/>
      <c r="K19" s="160"/>
    </row>
    <row r="20" spans="1:11" ht="15.75">
      <c r="A20" s="89" t="s">
        <v>185</v>
      </c>
      <c r="B20" s="99"/>
      <c r="C20" s="96"/>
      <c r="D20" s="89" t="s">
        <v>49</v>
      </c>
      <c r="E20" s="93">
        <v>90</v>
      </c>
      <c r="F20" s="93"/>
      <c r="I20" s="162" t="s">
        <v>154</v>
      </c>
      <c r="J20" s="163">
        <v>4</v>
      </c>
      <c r="K20" s="164"/>
    </row>
    <row r="21" spans="1:11">
      <c r="A21" s="89" t="s">
        <v>55</v>
      </c>
      <c r="B21" s="99" t="e">
        <f>SUM(#REF!)</f>
        <v>#REF!</v>
      </c>
      <c r="C21" s="96"/>
      <c r="D21" s="95"/>
      <c r="E21" s="93"/>
      <c r="F21" s="93"/>
      <c r="I21" s="158" t="s">
        <v>375</v>
      </c>
      <c r="J21" s="161" t="s">
        <v>155</v>
      </c>
      <c r="K21" s="160"/>
    </row>
    <row r="22" spans="1:11">
      <c r="A22" s="95"/>
      <c r="B22" s="96"/>
      <c r="C22" s="96"/>
      <c r="D22" s="89"/>
      <c r="E22" s="94"/>
      <c r="F22" s="94"/>
      <c r="I22" s="158"/>
      <c r="J22" s="161"/>
      <c r="K22" s="160"/>
    </row>
    <row r="23" spans="1:11">
      <c r="A23" s="91" t="s">
        <v>56</v>
      </c>
      <c r="B23" s="92" t="e">
        <f>SUM(B24:B28)</f>
        <v>#REF!</v>
      </c>
      <c r="C23" s="92"/>
      <c r="D23" s="91" t="s">
        <v>57</v>
      </c>
      <c r="E23" s="92">
        <f>E26+E27</f>
        <v>1200</v>
      </c>
      <c r="F23" s="92"/>
      <c r="I23" s="158"/>
      <c r="J23" s="161"/>
      <c r="K23" s="160"/>
    </row>
    <row r="24" spans="1:11">
      <c r="A24" s="89"/>
      <c r="B24" s="98"/>
      <c r="C24" s="98"/>
      <c r="D24" s="91" t="s">
        <v>58</v>
      </c>
      <c r="E24" s="94"/>
      <c r="F24" s="98"/>
      <c r="I24" s="158"/>
      <c r="J24" s="161"/>
      <c r="K24" s="160"/>
    </row>
    <row r="25" spans="1:11">
      <c r="A25" s="89" t="s">
        <v>59</v>
      </c>
      <c r="B25" s="93" t="e">
        <f>#REF!+#REF!-Comptes!B26</f>
        <v>#REF!</v>
      </c>
      <c r="C25" s="93"/>
      <c r="D25" s="95"/>
      <c r="E25" s="93"/>
      <c r="F25" s="93"/>
      <c r="I25" s="158"/>
      <c r="J25" s="161"/>
      <c r="K25" s="160"/>
    </row>
    <row r="26" spans="1:11">
      <c r="A26" s="89" t="s">
        <v>60</v>
      </c>
      <c r="B26" s="93" t="e">
        <f>#REF!+#REF!</f>
        <v>#REF!</v>
      </c>
      <c r="C26" s="93"/>
      <c r="D26" s="100" t="s">
        <v>61</v>
      </c>
      <c r="E26" s="93">
        <v>1200</v>
      </c>
      <c r="F26" s="93"/>
      <c r="I26" s="158"/>
      <c r="J26" s="161"/>
      <c r="K26" s="160"/>
    </row>
    <row r="27" spans="1:11">
      <c r="A27" s="89" t="s">
        <v>49</v>
      </c>
      <c r="B27" s="93" t="e">
        <f>#REF!+#REF!+#REF!+#REF!+#REF!+#REF!+#REF!+#REF!</f>
        <v>#REF!</v>
      </c>
      <c r="C27" s="93"/>
      <c r="D27" s="95"/>
      <c r="E27" s="93"/>
      <c r="F27" s="93"/>
      <c r="I27" s="158"/>
      <c r="J27" s="161"/>
      <c r="K27" s="160"/>
    </row>
    <row r="28" spans="1:11">
      <c r="A28" s="95"/>
      <c r="B28" s="94"/>
      <c r="C28" s="94"/>
      <c r="D28" s="89"/>
      <c r="E28" s="96"/>
      <c r="F28" s="96"/>
      <c r="I28" s="158"/>
      <c r="J28" s="161"/>
      <c r="K28" s="160"/>
    </row>
    <row r="29" spans="1:11">
      <c r="A29" s="91" t="s">
        <v>62</v>
      </c>
      <c r="B29" s="92" t="e">
        <f>SUM(B30:B34)</f>
        <v>#REF!</v>
      </c>
      <c r="C29" s="92"/>
      <c r="D29" s="91" t="s">
        <v>63</v>
      </c>
      <c r="E29" s="92" t="e">
        <f>E31+E32+E34+E33</f>
        <v>#REF!</v>
      </c>
      <c r="F29" s="92"/>
      <c r="I29" s="158"/>
      <c r="J29" s="161"/>
      <c r="K29" s="160"/>
    </row>
    <row r="30" spans="1:11">
      <c r="A30" s="89"/>
      <c r="B30" s="98"/>
      <c r="C30" s="98"/>
      <c r="D30" s="89"/>
      <c r="E30" s="98"/>
      <c r="F30" s="98"/>
      <c r="I30" s="158"/>
      <c r="J30" s="161"/>
      <c r="K30" s="160"/>
    </row>
    <row r="31" spans="1:11">
      <c r="A31" s="89" t="s">
        <v>64</v>
      </c>
      <c r="B31" s="93" t="e">
        <f>#REF!</f>
        <v>#REF!</v>
      </c>
      <c r="C31" s="93"/>
      <c r="D31" s="89" t="s">
        <v>65</v>
      </c>
      <c r="E31" s="93"/>
      <c r="F31" s="93"/>
      <c r="I31" s="158"/>
      <c r="J31" s="161"/>
      <c r="K31" s="160"/>
    </row>
    <row r="32" spans="1:11">
      <c r="A32" s="89" t="s">
        <v>66</v>
      </c>
      <c r="B32" s="93"/>
      <c r="C32" s="93"/>
      <c r="D32" s="95" t="s">
        <v>157</v>
      </c>
      <c r="E32" s="93">
        <f>J36</f>
        <v>28</v>
      </c>
      <c r="F32" s="93"/>
      <c r="I32" s="158"/>
      <c r="J32" s="161"/>
      <c r="K32" s="160"/>
    </row>
    <row r="33" spans="1:11">
      <c r="A33" s="89" t="s">
        <v>49</v>
      </c>
      <c r="B33" s="93"/>
      <c r="C33" s="93"/>
      <c r="D33" s="89" t="s">
        <v>184</v>
      </c>
      <c r="E33" s="99" t="e">
        <f>0.75*B14</f>
        <v>#REF!</v>
      </c>
      <c r="F33" s="93"/>
      <c r="I33" s="158"/>
      <c r="J33" s="161"/>
      <c r="K33" s="160"/>
    </row>
    <row r="34" spans="1:11">
      <c r="A34" s="95"/>
      <c r="B34" s="94"/>
      <c r="C34" s="94"/>
      <c r="D34" s="89" t="s">
        <v>374</v>
      </c>
      <c r="E34" s="94"/>
      <c r="F34" s="94"/>
      <c r="I34" s="158"/>
      <c r="J34" s="161"/>
      <c r="K34" s="160"/>
    </row>
    <row r="35" spans="1:11">
      <c r="A35" s="91" t="s">
        <v>67</v>
      </c>
      <c r="B35" s="92" t="e">
        <f>#REF!</f>
        <v>#REF!</v>
      </c>
      <c r="C35" s="92"/>
      <c r="D35" s="89"/>
      <c r="E35" s="92"/>
      <c r="F35" s="92"/>
    </row>
    <row r="36" spans="1:11">
      <c r="A36" s="89"/>
      <c r="B36" s="90"/>
      <c r="C36" s="90"/>
      <c r="D36" s="89"/>
      <c r="E36" s="90"/>
      <c r="F36" s="90"/>
      <c r="I36" s="1" t="s">
        <v>156</v>
      </c>
      <c r="J36" s="165">
        <f>COUNTIF(J3:J19,"x")*12+COUNTIF(J21:J34,"x")*4</f>
        <v>28</v>
      </c>
    </row>
    <row r="37" spans="1:11">
      <c r="A37" s="91" t="s">
        <v>68</v>
      </c>
      <c r="B37" s="92" t="e">
        <f>#REF!</f>
        <v>#REF!</v>
      </c>
      <c r="C37" s="92"/>
      <c r="D37" s="89"/>
      <c r="E37" s="92"/>
      <c r="F37" s="92"/>
    </row>
    <row r="38" spans="1:11">
      <c r="A38" s="89"/>
      <c r="B38" s="90"/>
      <c r="C38" s="90"/>
      <c r="D38" s="89"/>
      <c r="E38" s="90"/>
      <c r="F38" s="90"/>
    </row>
    <row r="39" spans="1:11">
      <c r="A39" s="91" t="s">
        <v>69</v>
      </c>
      <c r="B39" s="101"/>
      <c r="C39" s="101"/>
      <c r="D39" s="91" t="s">
        <v>70</v>
      </c>
      <c r="E39" s="101"/>
      <c r="F39" s="101"/>
    </row>
    <row r="40" spans="1:11">
      <c r="A40" s="89"/>
      <c r="B40" s="90"/>
      <c r="C40" s="90"/>
      <c r="D40" s="89"/>
      <c r="E40" s="90"/>
      <c r="F40" s="90"/>
    </row>
    <row r="41" spans="1:11">
      <c r="A41" s="91" t="s">
        <v>71</v>
      </c>
      <c r="B41" s="184" t="e">
        <f>#REF!*#REF!</f>
        <v>#REF!</v>
      </c>
      <c r="C41" s="101"/>
      <c r="D41" s="91" t="s">
        <v>72</v>
      </c>
      <c r="E41" s="184" t="e">
        <f>#REF!*#REF!</f>
        <v>#REF!</v>
      </c>
      <c r="F41" s="101"/>
    </row>
    <row r="42" spans="1:11">
      <c r="A42" s="89"/>
      <c r="B42" s="90"/>
      <c r="C42" s="90"/>
      <c r="D42" s="89"/>
      <c r="E42" s="90"/>
      <c r="F42" s="90"/>
    </row>
    <row r="43" spans="1:11">
      <c r="A43" s="91" t="s">
        <v>73</v>
      </c>
      <c r="B43" s="92">
        <f>SUM(B44:B46)</f>
        <v>0</v>
      </c>
      <c r="C43" s="92"/>
      <c r="D43" s="91" t="s">
        <v>74</v>
      </c>
      <c r="E43" s="92"/>
      <c r="F43" s="92"/>
    </row>
    <row r="44" spans="1:11">
      <c r="A44" s="89"/>
      <c r="B44" s="90"/>
      <c r="C44" s="90"/>
      <c r="D44" s="89"/>
      <c r="E44" s="90"/>
      <c r="F44" s="90"/>
    </row>
    <row r="45" spans="1:11">
      <c r="A45" s="89" t="s">
        <v>75</v>
      </c>
      <c r="B45" s="93"/>
      <c r="C45" s="93"/>
      <c r="D45" s="89" t="s">
        <v>75</v>
      </c>
      <c r="E45" s="93"/>
      <c r="F45" s="93"/>
    </row>
    <row r="46" spans="1:11">
      <c r="A46" s="89"/>
      <c r="B46" s="93"/>
      <c r="C46" s="93"/>
      <c r="D46" s="89"/>
      <c r="E46" s="93"/>
      <c r="F46" s="93"/>
    </row>
    <row r="47" spans="1:11">
      <c r="A47" s="91" t="s">
        <v>76</v>
      </c>
      <c r="B47" s="92">
        <f>SUM(B48:B51)</f>
        <v>0</v>
      </c>
      <c r="C47" s="92"/>
      <c r="D47" s="91" t="s">
        <v>77</v>
      </c>
      <c r="E47" s="92"/>
      <c r="F47" s="92"/>
    </row>
    <row r="48" spans="1:11">
      <c r="A48" s="89"/>
      <c r="B48" s="98"/>
      <c r="C48" s="98"/>
      <c r="D48" s="91" t="s">
        <v>78</v>
      </c>
      <c r="E48" s="98"/>
      <c r="F48" s="98"/>
    </row>
    <row r="49" spans="1:6">
      <c r="A49" s="89" t="s">
        <v>79</v>
      </c>
      <c r="B49" s="93"/>
      <c r="C49" s="93"/>
      <c r="D49" s="89"/>
      <c r="E49" s="93"/>
      <c r="F49" s="93"/>
    </row>
    <row r="50" spans="1:6">
      <c r="A50" s="89" t="s">
        <v>80</v>
      </c>
      <c r="B50" s="93"/>
      <c r="C50" s="93"/>
      <c r="D50" s="89" t="s">
        <v>79</v>
      </c>
      <c r="E50" s="93"/>
      <c r="F50" s="93"/>
    </row>
    <row r="51" spans="1:6">
      <c r="A51" s="89"/>
      <c r="B51" s="90"/>
      <c r="C51" s="90"/>
      <c r="D51" s="89"/>
      <c r="E51" s="90"/>
      <c r="F51" s="90"/>
    </row>
    <row r="52" spans="1:6">
      <c r="A52" s="42" t="s">
        <v>81</v>
      </c>
      <c r="B52" s="102" t="e">
        <f>SUM(B47,B43,B41,B39,B37,B35,B29,B23,B17,B9)</f>
        <v>#REF!</v>
      </c>
      <c r="C52" s="102"/>
      <c r="D52" s="42" t="s">
        <v>81</v>
      </c>
      <c r="E52" s="102" t="e">
        <f>SUM(E47,E43,E41,E39,E29,E23,E17,E9)</f>
        <v>#REF!</v>
      </c>
      <c r="F52" s="102"/>
    </row>
    <row r="53" spans="1:6">
      <c r="A53" s="103" t="s">
        <v>82</v>
      </c>
      <c r="B53" s="104"/>
      <c r="C53" s="104"/>
      <c r="D53" s="103" t="s">
        <v>83</v>
      </c>
      <c r="E53" s="104"/>
      <c r="F53" s="104"/>
    </row>
    <row r="54" spans="1:6">
      <c r="A54" s="54" t="s">
        <v>84</v>
      </c>
      <c r="B54" s="105" t="e">
        <f>B52+B53</f>
        <v>#REF!</v>
      </c>
      <c r="C54" s="105"/>
      <c r="D54" s="54" t="s">
        <v>84</v>
      </c>
      <c r="E54" s="105" t="e">
        <f>E52+E53</f>
        <v>#REF!</v>
      </c>
      <c r="F54" s="105"/>
    </row>
    <row r="55" spans="1:6">
      <c r="A55" s="87"/>
      <c r="B55" s="87"/>
      <c r="C55" s="87"/>
      <c r="D55" s="87"/>
      <c r="E55" s="87"/>
      <c r="F55" s="87"/>
    </row>
    <row r="56" spans="1:6" ht="15.75">
      <c r="A56" s="1298" t="s">
        <v>85</v>
      </c>
      <c r="B56" s="1298"/>
      <c r="C56" s="1298"/>
      <c r="D56" s="1298"/>
      <c r="E56" s="1298"/>
      <c r="F56" s="1298"/>
    </row>
    <row r="57" spans="1:6">
      <c r="A57" s="87"/>
      <c r="B57" s="87"/>
      <c r="C57" s="87"/>
      <c r="D57" s="87"/>
      <c r="E57" s="87"/>
      <c r="F57" s="87"/>
    </row>
    <row r="58" spans="1:6" ht="13.5" customHeight="1">
      <c r="A58" s="87" t="s">
        <v>86</v>
      </c>
      <c r="B58" s="87"/>
      <c r="C58" s="87"/>
      <c r="D58" s="87"/>
      <c r="E58" s="106"/>
      <c r="F58" s="87"/>
    </row>
    <row r="59" spans="1:6" ht="22.5" customHeight="1">
      <c r="A59" s="87" t="s">
        <v>87</v>
      </c>
      <c r="B59" s="87"/>
      <c r="C59" s="87"/>
      <c r="D59" s="87"/>
      <c r="E59" s="107"/>
      <c r="F59" s="87"/>
    </row>
    <row r="60" spans="1:6">
      <c r="A60" s="87"/>
      <c r="B60" s="87"/>
      <c r="C60" s="87"/>
      <c r="D60" s="87"/>
      <c r="E60" s="106"/>
      <c r="F60" s="87"/>
    </row>
    <row r="61" spans="1:6">
      <c r="A61" s="108" t="s">
        <v>88</v>
      </c>
      <c r="B61" s="87"/>
      <c r="C61" s="87"/>
      <c r="D61" s="87"/>
      <c r="E61" s="106"/>
      <c r="F61" s="87"/>
    </row>
    <row r="62" spans="1:6">
      <c r="A62" s="87"/>
      <c r="B62" s="87"/>
      <c r="C62" s="87"/>
      <c r="D62" s="87"/>
      <c r="E62" s="87"/>
      <c r="F62" s="87"/>
    </row>
    <row r="63" spans="1:6">
      <c r="A63" s="87"/>
      <c r="B63" s="87"/>
      <c r="C63" s="87"/>
      <c r="D63" s="87"/>
      <c r="E63" s="108" t="s">
        <v>89</v>
      </c>
      <c r="F63" s="87"/>
    </row>
    <row r="64" spans="1:6">
      <c r="A64" s="87"/>
      <c r="B64" s="87"/>
      <c r="C64" s="87"/>
      <c r="D64" s="87"/>
      <c r="E64" s="108" t="s">
        <v>90</v>
      </c>
      <c r="F64" s="87"/>
    </row>
    <row r="65" spans="10:10" s="1" customFormat="1">
      <c r="J65" s="5"/>
    </row>
    <row r="66" spans="10:10" s="1" customFormat="1">
      <c r="J66" s="5"/>
    </row>
    <row r="67" spans="10:10" s="1" customFormat="1">
      <c r="J67" s="5"/>
    </row>
    <row r="68" spans="10:10" s="1" customFormat="1">
      <c r="J68" s="5"/>
    </row>
    <row r="69" spans="10:10" s="1" customFormat="1">
      <c r="J69" s="5"/>
    </row>
    <row r="70" spans="10:10" s="1" customFormat="1">
      <c r="J70" s="5"/>
    </row>
    <row r="71" spans="10:10" s="1" customFormat="1">
      <c r="J71" s="5"/>
    </row>
    <row r="72" spans="10:10" s="1" customFormat="1">
      <c r="J72" s="5"/>
    </row>
    <row r="73" spans="10:10" s="1" customFormat="1">
      <c r="J73" s="5"/>
    </row>
    <row r="74" spans="10:10" s="1" customFormat="1">
      <c r="J74" s="5"/>
    </row>
    <row r="75" spans="10:10" s="1" customFormat="1">
      <c r="J75" s="5"/>
    </row>
    <row r="76" spans="10:10" s="1" customFormat="1">
      <c r="J76" s="5"/>
    </row>
  </sheetData>
  <sheetProtection selectLockedCells="1"/>
  <mergeCells count="6">
    <mergeCell ref="A56:F56"/>
    <mergeCell ref="A1:F1"/>
    <mergeCell ref="A2:F2"/>
    <mergeCell ref="A3:F3"/>
    <mergeCell ref="B6:C6"/>
    <mergeCell ref="E6:F6"/>
  </mergeCells>
  <phoneticPr fontId="8" type="noConversion"/>
  <conditionalFormatting sqref="B9:C54 E9:F54">
    <cfRule type="cellIs" dxfId="168" priority="1" stopIfTrue="1" operator="equal">
      <formula>0</formula>
    </cfRule>
  </conditionalFormatting>
  <dataValidations count="1">
    <dataValidation allowBlank="1" showInputMessage="1" showErrorMessage="1" promptTitle="mutation" prompt="Cannesson A." sqref="B15"/>
  </dataValidations>
  <pageMargins left="0.27986111111111112" right="0.22986111111111113" top="0.98402777777777783" bottom="0.98402777777777783" header="0.51180555555555562" footer="0.51180555555555562"/>
  <pageSetup paperSize="9" scale="84" firstPageNumber="0" orientation="portrait" blackAndWhite="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showZeros="0" workbookViewId="0">
      <selection activeCell="C1" sqref="C1"/>
    </sheetView>
  </sheetViews>
  <sheetFormatPr baseColWidth="10" defaultRowHeight="12.75"/>
  <cols>
    <col min="1" max="1" width="20.5703125" style="1" customWidth="1"/>
    <col min="2" max="2" width="19.28515625" style="1" customWidth="1"/>
    <col min="3" max="3" width="16.5703125" style="1" customWidth="1"/>
    <col min="4" max="4" width="18.140625" style="1" customWidth="1"/>
    <col min="5" max="5" width="17.140625" style="1" customWidth="1"/>
    <col min="6" max="6" width="8" style="1" customWidth="1"/>
    <col min="7" max="7" width="14.28515625" style="1" customWidth="1"/>
    <col min="8" max="8" width="11.42578125" style="1"/>
    <col min="9" max="9" width="9.28515625" style="1" customWidth="1"/>
    <col min="10" max="11" width="11.42578125" style="1"/>
  </cols>
  <sheetData>
    <row r="1" spans="1:7" ht="20.25">
      <c r="B1" s="109" t="str">
        <f>"Compte Rendu de l'Assemblée Générale du"</f>
        <v>Compte Rendu de l'Assemblée Générale du</v>
      </c>
      <c r="C1" s="110"/>
      <c r="D1" s="110"/>
      <c r="E1" s="294" t="e">
        <f>#REF!</f>
        <v>#REF!</v>
      </c>
    </row>
    <row r="2" spans="1:7" ht="3.75" customHeight="1">
      <c r="A2" s="112"/>
    </row>
    <row r="3" spans="1:7" ht="1.5" customHeight="1">
      <c r="A3" s="112"/>
    </row>
    <row r="4" spans="1:7" ht="15.75">
      <c r="A4" s="112"/>
    </row>
    <row r="5" spans="1:7" ht="15">
      <c r="A5" s="113" t="s">
        <v>150</v>
      </c>
      <c r="D5" s="114" t="s">
        <v>100</v>
      </c>
      <c r="E5" s="114"/>
      <c r="G5" s="113" t="s">
        <v>101</v>
      </c>
    </row>
    <row r="6" spans="1:7">
      <c r="C6" s="1" t="s">
        <v>102</v>
      </c>
      <c r="D6" s="143" t="s">
        <v>355</v>
      </c>
      <c r="E6" s="143" t="s">
        <v>357</v>
      </c>
      <c r="G6" s="143" t="s">
        <v>365</v>
      </c>
    </row>
    <row r="7" spans="1:7">
      <c r="A7" s="1" t="s">
        <v>103</v>
      </c>
      <c r="B7" s="40" t="s">
        <v>138</v>
      </c>
      <c r="C7" s="143" t="s">
        <v>149</v>
      </c>
      <c r="D7" s="1" t="s">
        <v>105</v>
      </c>
      <c r="E7" s="1" t="s">
        <v>106</v>
      </c>
      <c r="G7" s="143" t="s">
        <v>108</v>
      </c>
    </row>
    <row r="8" spans="1:7">
      <c r="A8" s="143" t="s">
        <v>366</v>
      </c>
      <c r="C8" s="1" t="s">
        <v>107</v>
      </c>
      <c r="D8" s="143" t="s">
        <v>146</v>
      </c>
      <c r="E8" s="143" t="s">
        <v>358</v>
      </c>
      <c r="G8" s="143" t="s">
        <v>354</v>
      </c>
    </row>
    <row r="9" spans="1:7" ht="12" customHeight="1">
      <c r="A9" s="143" t="s">
        <v>367</v>
      </c>
      <c r="C9" s="1" t="s">
        <v>109</v>
      </c>
      <c r="D9" s="143" t="s">
        <v>356</v>
      </c>
      <c r="E9" s="143" t="s">
        <v>359</v>
      </c>
      <c r="G9" s="1" t="s">
        <v>104</v>
      </c>
    </row>
    <row r="10" spans="1:7">
      <c r="C10" s="143" t="s">
        <v>145</v>
      </c>
      <c r="D10" s="1" t="s">
        <v>110</v>
      </c>
      <c r="E10" s="143" t="s">
        <v>148</v>
      </c>
    </row>
    <row r="11" spans="1:7">
      <c r="C11" s="1" t="s">
        <v>111</v>
      </c>
      <c r="D11" s="1" t="s">
        <v>112</v>
      </c>
      <c r="E11" s="143" t="s">
        <v>360</v>
      </c>
    </row>
    <row r="12" spans="1:7" ht="12" customHeight="1">
      <c r="C12" s="143" t="s">
        <v>147</v>
      </c>
      <c r="D12" s="143" t="s">
        <v>127</v>
      </c>
      <c r="E12" s="143" t="s">
        <v>364</v>
      </c>
    </row>
    <row r="13" spans="1:7" ht="10.5" customHeight="1">
      <c r="A13" s="114"/>
      <c r="B13" s="114"/>
      <c r="C13" s="143" t="s">
        <v>362</v>
      </c>
      <c r="D13" s="143" t="s">
        <v>361</v>
      </c>
      <c r="E13" s="143" t="s">
        <v>126</v>
      </c>
    </row>
    <row r="14" spans="1:7" ht="15" customHeight="1">
      <c r="A14" s="115" t="s">
        <v>113</v>
      </c>
      <c r="D14" s="143" t="s">
        <v>368</v>
      </c>
    </row>
    <row r="15" spans="1:7" ht="15">
      <c r="A15" s="116"/>
    </row>
    <row r="16" spans="1:7" ht="15.75">
      <c r="A16" s="112" t="e">
        <f>#REF!&amp;" licenciés (55,62,42, 49, 55, 45, 49  les années précédentes) ."</f>
        <v>#REF!</v>
      </c>
      <c r="E16" s="143" t="s">
        <v>377</v>
      </c>
    </row>
    <row r="17" spans="1:11" ht="15.75">
      <c r="A17" s="112" t="s">
        <v>378</v>
      </c>
      <c r="E17" s="143" t="s">
        <v>379</v>
      </c>
    </row>
    <row r="18" spans="1:11" ht="15.75">
      <c r="A18" s="117" t="s">
        <v>380</v>
      </c>
      <c r="E18" s="143" t="s">
        <v>381</v>
      </c>
    </row>
    <row r="19" spans="1:11" ht="15.75">
      <c r="A19" s="112" t="str">
        <f>ROUND([12]Stat.adhérents!$D$6*100,0)&amp;" % de féminines"</f>
        <v>11 % de féminines</v>
      </c>
      <c r="E19" s="143" t="s">
        <v>382</v>
      </c>
    </row>
    <row r="20" spans="1:11" ht="15.75">
      <c r="A20" s="112" t="str">
        <f>ROUND([12]Stat.adhérents!$J$13*100,0)&amp;" % de muzillacais"</f>
        <v>65 % de muzillacais</v>
      </c>
      <c r="E20" s="143" t="s">
        <v>139</v>
      </c>
    </row>
    <row r="21" spans="1:11" ht="30" customHeight="1">
      <c r="A21" s="118" t="s">
        <v>114</v>
      </c>
    </row>
    <row r="22" spans="1:11" ht="18.75">
      <c r="A22" s="119" t="s">
        <v>115</v>
      </c>
      <c r="B22" s="110"/>
      <c r="C22" s="110"/>
      <c r="D22" s="111"/>
      <c r="E22" s="120" t="s">
        <v>116</v>
      </c>
      <c r="F22" s="110"/>
      <c r="G22" s="110"/>
      <c r="H22" s="110"/>
      <c r="I22" s="111"/>
    </row>
    <row r="23" spans="1:11" s="123" customFormat="1" ht="15.75">
      <c r="A23" s="130" t="e">
        <f>#REF!</f>
        <v>#REF!</v>
      </c>
      <c r="B23" s="130"/>
      <c r="C23" s="130"/>
      <c r="D23" s="131"/>
      <c r="E23" s="130" t="e">
        <f>#REF!</f>
        <v>#REF!</v>
      </c>
      <c r="F23" s="130"/>
      <c r="G23" s="130"/>
      <c r="H23" s="130"/>
      <c r="I23" s="130"/>
      <c r="J23" s="112"/>
      <c r="K23" s="112"/>
    </row>
    <row r="24" spans="1:11" s="123" customFormat="1" ht="15.75">
      <c r="A24" s="121" t="e">
        <f>#REF!</f>
        <v>#REF!</v>
      </c>
      <c r="B24" s="121"/>
      <c r="C24" s="121"/>
      <c r="D24" s="122"/>
      <c r="E24" s="121" t="e">
        <f>#REF!</f>
        <v>#REF!</v>
      </c>
      <c r="F24" s="121"/>
      <c r="G24" s="121"/>
      <c r="H24" s="121"/>
      <c r="I24" s="121"/>
      <c r="J24" s="112"/>
      <c r="K24" s="112"/>
    </row>
    <row r="25" spans="1:11" s="123" customFormat="1" ht="15.75">
      <c r="A25" s="121" t="e">
        <f>#REF!</f>
        <v>#REF!</v>
      </c>
      <c r="B25" s="121"/>
      <c r="C25" s="121"/>
      <c r="D25" s="122"/>
      <c r="E25" s="121" t="e">
        <f>#REF!</f>
        <v>#REF!</v>
      </c>
      <c r="F25" s="121"/>
      <c r="G25" s="121"/>
      <c r="H25" s="121"/>
      <c r="I25" s="121"/>
      <c r="J25" s="112"/>
      <c r="K25" s="112"/>
    </row>
    <row r="26" spans="1:11" s="123" customFormat="1" ht="15.75">
      <c r="A26" s="121" t="e">
        <f>#REF!</f>
        <v>#REF!</v>
      </c>
      <c r="B26" s="121"/>
      <c r="C26" s="121"/>
      <c r="D26" s="122"/>
      <c r="E26" s="121" t="e">
        <f>#REF!</f>
        <v>#REF!</v>
      </c>
      <c r="F26" s="121"/>
      <c r="G26" s="121"/>
      <c r="H26" s="121"/>
      <c r="I26" s="121"/>
      <c r="J26" s="112"/>
      <c r="K26" s="112"/>
    </row>
    <row r="27" spans="1:11" s="123" customFormat="1" ht="15.75">
      <c r="A27" s="121" t="e">
        <f>#REF!</f>
        <v>#REF!</v>
      </c>
      <c r="B27" s="121"/>
      <c r="C27" s="121"/>
      <c r="D27" s="122"/>
      <c r="E27" s="121" t="e">
        <f>#REF!</f>
        <v>#REF!</v>
      </c>
      <c r="F27" s="121"/>
      <c r="G27" s="121"/>
      <c r="H27" s="121"/>
      <c r="I27" s="121"/>
      <c r="J27" s="112"/>
      <c r="K27" s="112"/>
    </row>
    <row r="28" spans="1:11" s="123" customFormat="1" ht="15.75">
      <c r="A28" s="121" t="e">
        <f>#REF!</f>
        <v>#REF!</v>
      </c>
      <c r="B28" s="121"/>
      <c r="C28" s="121"/>
      <c r="D28" s="122"/>
      <c r="E28" s="121" t="e">
        <f>#REF!</f>
        <v>#REF!</v>
      </c>
      <c r="F28" s="121"/>
      <c r="G28" s="121"/>
      <c r="H28" s="121"/>
      <c r="I28" s="121"/>
      <c r="J28" s="112"/>
      <c r="K28" s="112"/>
    </row>
    <row r="29" spans="1:11" s="123" customFormat="1" ht="15.75">
      <c r="A29" s="121" t="e">
        <f>#REF!</f>
        <v>#REF!</v>
      </c>
      <c r="B29" s="121"/>
      <c r="C29" s="121"/>
      <c r="D29" s="122"/>
      <c r="E29" s="121" t="e">
        <f>#REF!</f>
        <v>#REF!</v>
      </c>
      <c r="F29" s="121"/>
      <c r="G29" s="121"/>
      <c r="H29" s="121"/>
      <c r="I29" s="121"/>
      <c r="J29" s="112"/>
      <c r="K29" s="112"/>
    </row>
    <row r="30" spans="1:11" s="123" customFormat="1" ht="15.75">
      <c r="A30" s="121" t="e">
        <f>#REF!</f>
        <v>#REF!</v>
      </c>
      <c r="B30" s="121"/>
      <c r="C30" s="121"/>
      <c r="D30" s="122"/>
      <c r="E30" s="121" t="e">
        <f>#REF!</f>
        <v>#REF!</v>
      </c>
      <c r="F30" s="121"/>
      <c r="G30" s="121"/>
      <c r="H30" s="121"/>
      <c r="I30" s="121"/>
      <c r="J30" s="112"/>
      <c r="K30" s="112"/>
    </row>
    <row r="31" spans="1:11" s="123" customFormat="1" ht="15.75">
      <c r="A31" s="121" t="e">
        <f>#REF!</f>
        <v>#REF!</v>
      </c>
      <c r="B31" s="121"/>
      <c r="C31" s="121"/>
      <c r="D31" s="122"/>
      <c r="E31" s="121" t="e">
        <f>#REF!</f>
        <v>#REF!</v>
      </c>
      <c r="F31" s="121"/>
      <c r="G31" s="121"/>
      <c r="H31" s="121"/>
      <c r="I31" s="121"/>
      <c r="J31" s="112"/>
      <c r="K31" s="112"/>
    </row>
    <row r="32" spans="1:11" s="123" customFormat="1" ht="15.75">
      <c r="A32" s="121" t="e">
        <f>#REF!</f>
        <v>#REF!</v>
      </c>
      <c r="B32" s="121"/>
      <c r="C32" s="121"/>
      <c r="D32" s="122"/>
      <c r="E32" s="121" t="e">
        <f>#REF!</f>
        <v>#REF!</v>
      </c>
      <c r="F32" s="121"/>
      <c r="G32" s="121"/>
      <c r="H32" s="121"/>
      <c r="I32" s="121"/>
      <c r="J32" s="112"/>
      <c r="K32" s="112"/>
    </row>
    <row r="33" spans="1:19" s="123" customFormat="1" ht="15.75">
      <c r="A33" s="121"/>
      <c r="B33" s="121"/>
      <c r="C33" s="121"/>
      <c r="D33" s="122"/>
      <c r="E33" s="121" t="e">
        <f>#REF!</f>
        <v>#REF!</v>
      </c>
      <c r="F33" s="121"/>
      <c r="G33" s="121"/>
      <c r="H33" s="121"/>
      <c r="I33" s="121"/>
      <c r="J33" s="112"/>
      <c r="K33" s="112"/>
    </row>
    <row r="34" spans="1:19" s="123" customFormat="1" ht="15.75">
      <c r="A34" s="121" t="e">
        <f>#REF!</f>
        <v>#REF!</v>
      </c>
      <c r="B34" s="121"/>
      <c r="C34" s="121"/>
      <c r="D34" s="122"/>
      <c r="E34" s="121" t="e">
        <f>#REF!</f>
        <v>#REF!</v>
      </c>
      <c r="F34" s="121"/>
      <c r="G34" s="121"/>
      <c r="H34" s="121"/>
      <c r="I34" s="121"/>
      <c r="J34" s="112"/>
      <c r="K34" s="112"/>
    </row>
    <row r="35" spans="1:19" ht="15.75">
      <c r="D35" s="142"/>
      <c r="E35" s="121" t="e">
        <f>#REF!</f>
        <v>#REF!</v>
      </c>
    </row>
    <row r="36" spans="1:19" ht="18.75">
      <c r="A36" s="115" t="s">
        <v>117</v>
      </c>
    </row>
    <row r="37" spans="1:19" ht="29.25" customHeight="1">
      <c r="A37" s="124"/>
    </row>
    <row r="38" spans="1:19" ht="15.75">
      <c r="A38" s="125" t="e">
        <f>#REF!</f>
        <v>#REF!</v>
      </c>
      <c r="B38" s="1304" t="e">
        <f>#REF!</f>
        <v>#REF!</v>
      </c>
      <c r="C38" s="1304"/>
      <c r="D38" s="1304"/>
      <c r="E38" s="1304"/>
      <c r="F38" s="1304"/>
      <c r="G38" s="1304"/>
      <c r="H38" s="1304"/>
      <c r="I38" s="1304"/>
      <c r="K38" s="1" t="e">
        <f>#REF!</f>
        <v>#REF!</v>
      </c>
      <c r="L38" t="e">
        <f>#REF!</f>
        <v>#REF!</v>
      </c>
      <c r="M38" t="e">
        <f>#REF!</f>
        <v>#REF!</v>
      </c>
      <c r="N38" t="e">
        <f>#REF!</f>
        <v>#REF!</v>
      </c>
      <c r="O38" t="e">
        <f>#REF!</f>
        <v>#REF!</v>
      </c>
      <c r="P38" t="e">
        <f>#REF!</f>
        <v>#REF!</v>
      </c>
      <c r="R38" t="e">
        <f>#REF!</f>
        <v>#REF!</v>
      </c>
      <c r="S38" t="e">
        <f>#REF!</f>
        <v>#REF!</v>
      </c>
    </row>
    <row r="39" spans="1:19" ht="15.75">
      <c r="A39" s="125" t="e">
        <f>"   "&amp;#REF!</f>
        <v>#REF!</v>
      </c>
      <c r="B39" s="1304"/>
      <c r="C39" s="1304"/>
      <c r="D39" s="1304"/>
      <c r="E39" s="1304"/>
      <c r="F39" s="1304"/>
      <c r="G39" s="1304"/>
      <c r="H39" s="1304"/>
      <c r="I39" s="1304"/>
      <c r="K39" s="1" t="e">
        <f>#REF!</f>
        <v>#REF!</v>
      </c>
      <c r="L39" t="e">
        <f>#REF!</f>
        <v>#REF!</v>
      </c>
      <c r="M39" t="e">
        <f>#REF!</f>
        <v>#REF!</v>
      </c>
      <c r="N39" t="e">
        <f>#REF!</f>
        <v>#REF!</v>
      </c>
      <c r="O39" t="e">
        <f>#REF!</f>
        <v>#REF!</v>
      </c>
      <c r="P39" t="e">
        <f>#REF!</f>
        <v>#REF!</v>
      </c>
      <c r="R39" t="e">
        <f>#REF!</f>
        <v>#REF!</v>
      </c>
      <c r="S39" t="e">
        <f>#REF!</f>
        <v>#REF!</v>
      </c>
    </row>
    <row r="40" spans="1:19" ht="15.75">
      <c r="A40" s="125"/>
      <c r="B40" s="80"/>
    </row>
    <row r="41" spans="1:19" ht="15.75">
      <c r="A41" s="125" t="e">
        <f>#REF!</f>
        <v>#REF!</v>
      </c>
      <c r="B41" s="1305" t="e">
        <f>#REF!</f>
        <v>#REF!</v>
      </c>
      <c r="C41" s="1306"/>
      <c r="D41" s="1306"/>
      <c r="E41" s="1306"/>
      <c r="F41" s="1306"/>
      <c r="G41" s="1306"/>
      <c r="H41" s="1306"/>
      <c r="I41" s="1306"/>
      <c r="K41" s="1" t="e">
        <f>#REF!</f>
        <v>#REF!</v>
      </c>
      <c r="L41" t="e">
        <f>#REF!</f>
        <v>#REF!</v>
      </c>
      <c r="M41" t="e">
        <f>#REF!</f>
        <v>#REF!</v>
      </c>
      <c r="N41" t="e">
        <f>#REF!</f>
        <v>#REF!</v>
      </c>
      <c r="O41" t="e">
        <f>#REF!</f>
        <v>#REF!</v>
      </c>
      <c r="P41" t="e">
        <f>#REF!</f>
        <v>#REF!</v>
      </c>
      <c r="R41" t="e">
        <f>#REF!</f>
        <v>#REF!</v>
      </c>
      <c r="S41" t="e">
        <f>#REF!</f>
        <v>#REF!</v>
      </c>
    </row>
    <row r="42" spans="1:19" ht="15.75">
      <c r="A42" s="125" t="e">
        <f>#REF!</f>
        <v>#REF!</v>
      </c>
      <c r="B42" s="1305"/>
      <c r="C42" s="1306"/>
      <c r="D42" s="1306"/>
      <c r="E42" s="1306"/>
      <c r="F42" s="1306"/>
      <c r="G42" s="1306"/>
      <c r="H42" s="1306"/>
      <c r="I42" s="1306"/>
      <c r="K42" s="1" t="e">
        <f>#REF!</f>
        <v>#REF!</v>
      </c>
      <c r="L42" t="e">
        <f>#REF!</f>
        <v>#REF!</v>
      </c>
      <c r="M42" t="e">
        <f>#REF!</f>
        <v>#REF!</v>
      </c>
      <c r="N42" t="e">
        <f>#REF!</f>
        <v>#REF!</v>
      </c>
      <c r="O42" t="e">
        <f>#REF!</f>
        <v>#REF!</v>
      </c>
      <c r="P42" t="e">
        <f>#REF!</f>
        <v>#REF!</v>
      </c>
      <c r="R42" t="e">
        <f>#REF!</f>
        <v>#REF!</v>
      </c>
      <c r="S42" t="e">
        <f>#REF!</f>
        <v>#REF!</v>
      </c>
    </row>
    <row r="43" spans="1:19" ht="15.75">
      <c r="A43" s="125"/>
      <c r="B43" s="80"/>
    </row>
    <row r="44" spans="1:19" ht="15.75">
      <c r="A44" s="125" t="e">
        <f>#REF!</f>
        <v>#REF!</v>
      </c>
      <c r="B44" s="1307" t="e">
        <f>#REF!</f>
        <v>#REF!</v>
      </c>
      <c r="C44" s="1306"/>
      <c r="D44" s="1306"/>
      <c r="E44" s="1306"/>
      <c r="F44" s="1306"/>
      <c r="G44" s="1306"/>
      <c r="H44" s="1306"/>
      <c r="I44" s="1306"/>
      <c r="K44" s="1" t="e">
        <f>#REF!</f>
        <v>#REF!</v>
      </c>
      <c r="L44" t="e">
        <f>#REF!</f>
        <v>#REF!</v>
      </c>
      <c r="M44" t="e">
        <f>#REF!</f>
        <v>#REF!</v>
      </c>
      <c r="N44" t="e">
        <f>#REF!</f>
        <v>#REF!</v>
      </c>
      <c r="O44" t="e">
        <f>#REF!</f>
        <v>#REF!</v>
      </c>
      <c r="P44" t="e">
        <f>#REF!</f>
        <v>#REF!</v>
      </c>
      <c r="R44" t="e">
        <f>#REF!</f>
        <v>#REF!</v>
      </c>
      <c r="S44" t="e">
        <f>#REF!</f>
        <v>#REF!</v>
      </c>
    </row>
    <row r="45" spans="1:19" ht="15.75">
      <c r="A45" s="125" t="e">
        <f>#REF!</f>
        <v>#REF!</v>
      </c>
      <c r="B45" s="1306"/>
      <c r="C45" s="1306"/>
      <c r="D45" s="1306"/>
      <c r="E45" s="1306"/>
      <c r="F45" s="1306"/>
      <c r="G45" s="1306"/>
      <c r="H45" s="1306"/>
      <c r="I45" s="1306"/>
      <c r="K45" s="1" t="e">
        <f>#REF!</f>
        <v>#REF!</v>
      </c>
      <c r="L45" t="e">
        <f>#REF!</f>
        <v>#REF!</v>
      </c>
      <c r="M45" t="e">
        <f>#REF!</f>
        <v>#REF!</v>
      </c>
      <c r="N45" t="e">
        <f>#REF!</f>
        <v>#REF!</v>
      </c>
      <c r="O45" t="e">
        <f>#REF!</f>
        <v>#REF!</v>
      </c>
      <c r="P45" t="e">
        <f>#REF!</f>
        <v>#REF!</v>
      </c>
      <c r="R45" t="e">
        <f>#REF!</f>
        <v>#REF!</v>
      </c>
      <c r="S45" t="e">
        <f>#REF!</f>
        <v>#REF!</v>
      </c>
    </row>
    <row r="46" spans="1:19" ht="15.75">
      <c r="A46" s="125"/>
      <c r="B46" s="80"/>
    </row>
    <row r="47" spans="1:19" ht="15.75">
      <c r="A47" s="125" t="e">
        <f>#REF!</f>
        <v>#REF!</v>
      </c>
      <c r="B47" s="1302" t="e">
        <f>#REF!</f>
        <v>#REF!</v>
      </c>
      <c r="C47" s="1303"/>
      <c r="D47" s="1303"/>
      <c r="E47" s="1303"/>
      <c r="F47" s="1303"/>
      <c r="G47" s="1303"/>
      <c r="H47" s="1303"/>
      <c r="I47" s="1303"/>
      <c r="K47" s="1" t="e">
        <f>#REF!</f>
        <v>#REF!</v>
      </c>
      <c r="L47" t="e">
        <f>#REF!</f>
        <v>#REF!</v>
      </c>
      <c r="M47" t="e">
        <f>#REF!</f>
        <v>#REF!</v>
      </c>
      <c r="N47" t="e">
        <f>#REF!</f>
        <v>#REF!</v>
      </c>
      <c r="O47" t="e">
        <f>#REF!</f>
        <v>#REF!</v>
      </c>
      <c r="P47" t="e">
        <f>#REF!</f>
        <v>#REF!</v>
      </c>
      <c r="R47" t="e">
        <f>#REF!</f>
        <v>#REF!</v>
      </c>
      <c r="S47" t="e">
        <f>#REF!</f>
        <v>#REF!</v>
      </c>
    </row>
    <row r="48" spans="1:19" ht="15.75">
      <c r="A48" s="118" t="e">
        <f>#REF!</f>
        <v>#REF!</v>
      </c>
      <c r="B48" s="1303"/>
      <c r="C48" s="1303"/>
      <c r="D48" s="1303"/>
      <c r="E48" s="1303"/>
      <c r="F48" s="1303"/>
      <c r="G48" s="1303"/>
      <c r="H48" s="1303"/>
      <c r="I48" s="1303"/>
      <c r="K48" s="1" t="e">
        <f>#REF!</f>
        <v>#REF!</v>
      </c>
      <c r="L48" t="e">
        <f>#REF!</f>
        <v>#REF!</v>
      </c>
      <c r="M48" t="e">
        <f>#REF!</f>
        <v>#REF!</v>
      </c>
      <c r="N48" t="e">
        <f>#REF!</f>
        <v>#REF!</v>
      </c>
      <c r="O48" t="e">
        <f>#REF!</f>
        <v>#REF!</v>
      </c>
      <c r="P48" t="e">
        <f>#REF!</f>
        <v>#REF!</v>
      </c>
      <c r="R48" t="e">
        <f>#REF!</f>
        <v>#REF!</v>
      </c>
      <c r="S48" t="e">
        <f>#REF!</f>
        <v>#REF!</v>
      </c>
    </row>
    <row r="49" spans="1:9" ht="22.5" customHeight="1">
      <c r="A49" s="118"/>
      <c r="B49" s="295"/>
      <c r="C49" s="295"/>
      <c r="D49" s="295"/>
      <c r="E49" s="295"/>
      <c r="F49" s="295"/>
      <c r="G49" s="295"/>
      <c r="H49" s="295"/>
      <c r="I49" s="295"/>
    </row>
    <row r="50" spans="1:9" ht="22.5" customHeight="1">
      <c r="A50" s="125" t="e">
        <f>#REF!</f>
        <v>#REF!</v>
      </c>
      <c r="B50" s="1303"/>
      <c r="C50" s="1303"/>
      <c r="D50" s="1303"/>
      <c r="E50" s="1303"/>
      <c r="F50" s="1303"/>
      <c r="G50" s="1303"/>
      <c r="H50" s="1303"/>
      <c r="I50" s="1303"/>
    </row>
    <row r="51" spans="1:9" ht="15.75" customHeight="1">
      <c r="A51" s="118" t="e">
        <f>#REF!</f>
        <v>#REF!</v>
      </c>
      <c r="B51" s="1306"/>
      <c r="C51" s="1306"/>
      <c r="D51" s="1306"/>
      <c r="E51" s="1306"/>
      <c r="F51" s="1306"/>
      <c r="G51" s="1306"/>
      <c r="H51" s="1306"/>
      <c r="I51" s="1306"/>
    </row>
    <row r="52" spans="1:9" ht="15.75">
      <c r="A52" s="124"/>
    </row>
    <row r="53" spans="1:9" ht="15">
      <c r="A53" s="80" t="s">
        <v>383</v>
      </c>
    </row>
    <row r="54" spans="1:9" ht="15">
      <c r="A54" s="80" t="s">
        <v>384</v>
      </c>
    </row>
    <row r="55" spans="1:9" ht="15">
      <c r="A55" s="80"/>
    </row>
    <row r="57" spans="1:9" ht="15">
      <c r="A57" s="80" t="s">
        <v>385</v>
      </c>
    </row>
    <row r="58" spans="1:9" ht="15.75">
      <c r="A58" s="124"/>
    </row>
    <row r="59" spans="1:9" ht="15">
      <c r="A59" s="126" t="s">
        <v>118</v>
      </c>
      <c r="B59" s="127"/>
      <c r="C59" s="59"/>
      <c r="D59" s="59"/>
      <c r="E59" s="59"/>
      <c r="F59" s="59"/>
    </row>
    <row r="60" spans="1:9" ht="15">
      <c r="A60" s="80" t="s">
        <v>386</v>
      </c>
      <c r="B60" s="127"/>
      <c r="C60" s="59"/>
      <c r="D60" s="290"/>
      <c r="E60" s="59"/>
      <c r="F60" s="59"/>
    </row>
    <row r="61" spans="1:9" s="80" customFormat="1" ht="15">
      <c r="A61" s="80" t="s">
        <v>387</v>
      </c>
      <c r="D61" s="290"/>
    </row>
    <row r="62" spans="1:9" s="80" customFormat="1" ht="15">
      <c r="A62" s="80" t="s">
        <v>388</v>
      </c>
    </row>
    <row r="63" spans="1:9" s="80" customFormat="1" ht="26.25" customHeight="1">
      <c r="A63" s="126" t="s">
        <v>389</v>
      </c>
    </row>
    <row r="64" spans="1:9" s="80" customFormat="1" ht="15">
      <c r="A64" s="80" t="s">
        <v>390</v>
      </c>
    </row>
    <row r="65" spans="1:6" s="80" customFormat="1" ht="15"/>
    <row r="66" spans="1:6" s="80" customFormat="1" ht="15"/>
    <row r="67" spans="1:6" ht="48.75" customHeight="1">
      <c r="A67" s="128"/>
      <c r="B67" s="128"/>
      <c r="C67" s="38"/>
      <c r="D67" s="38"/>
      <c r="E67" s="59"/>
      <c r="F67" s="59"/>
    </row>
    <row r="68" spans="1:6" ht="18.75">
      <c r="A68" s="115" t="s">
        <v>391</v>
      </c>
    </row>
    <row r="69" spans="1:6" ht="26.25" customHeight="1">
      <c r="A69" s="123"/>
    </row>
    <row r="70" spans="1:6" ht="17.100000000000001" customHeight="1">
      <c r="A70" s="80" t="e">
        <f>#REF!</f>
        <v>#REF!</v>
      </c>
    </row>
    <row r="71" spans="1:6" ht="17.100000000000001" customHeight="1">
      <c r="A71" s="80" t="e">
        <f>#REF!</f>
        <v>#REF!</v>
      </c>
    </row>
    <row r="72" spans="1:6" ht="17.100000000000001" customHeight="1">
      <c r="A72" s="80" t="e">
        <f>#REF!</f>
        <v>#REF!</v>
      </c>
    </row>
    <row r="73" spans="1:6" ht="17.100000000000001" customHeight="1">
      <c r="A73" s="80" t="e">
        <f>#REF!</f>
        <v>#REF!</v>
      </c>
    </row>
    <row r="74" spans="1:6" ht="17.100000000000001" customHeight="1">
      <c r="A74" s="80" t="e">
        <f>#REF!</f>
        <v>#REF!</v>
      </c>
    </row>
    <row r="75" spans="1:6" ht="17.100000000000001" customHeight="1">
      <c r="A75" s="80" t="e">
        <f>#REF!</f>
        <v>#REF!</v>
      </c>
      <c r="E75" s="112"/>
    </row>
    <row r="76" spans="1:6" ht="17.100000000000001" customHeight="1">
      <c r="A76" s="80" t="e">
        <f>#REF!</f>
        <v>#REF!</v>
      </c>
      <c r="E76" s="112"/>
    </row>
    <row r="77" spans="1:6" ht="17.100000000000001" customHeight="1">
      <c r="A77" s="80" t="e">
        <f>#REF!</f>
        <v>#REF!</v>
      </c>
      <c r="E77" s="112"/>
    </row>
    <row r="78" spans="1:6" ht="17.100000000000001" customHeight="1">
      <c r="A78" s="80" t="e">
        <f>#REF!</f>
        <v>#REF!</v>
      </c>
      <c r="E78" s="112"/>
    </row>
    <row r="79" spans="1:6" ht="17.100000000000001" customHeight="1">
      <c r="A79" s="80" t="e">
        <f>#REF!</f>
        <v>#REF!</v>
      </c>
      <c r="E79" s="112"/>
    </row>
    <row r="81" spans="1:1" ht="18.75">
      <c r="A81" s="115" t="s">
        <v>119</v>
      </c>
    </row>
    <row r="82" spans="1:1" ht="21.75" customHeight="1"/>
    <row r="83" spans="1:1" ht="15">
      <c r="A83" s="80" t="e">
        <f>#REF!</f>
        <v>#REF!</v>
      </c>
    </row>
    <row r="84" spans="1:1" ht="15">
      <c r="A84" s="80" t="e">
        <f>#REF!</f>
        <v>#REF!</v>
      </c>
    </row>
    <row r="85" spans="1:1" ht="15">
      <c r="A85" s="80" t="e">
        <f>#REF!</f>
        <v>#REF!</v>
      </c>
    </row>
    <row r="86" spans="1:1" ht="15">
      <c r="A86" s="80" t="e">
        <f>#REF!</f>
        <v>#REF!</v>
      </c>
    </row>
    <row r="87" spans="1:1" ht="15">
      <c r="A87" s="80" t="e">
        <f>#REF!</f>
        <v>#REF!</v>
      </c>
    </row>
    <row r="88" spans="1:1" ht="15">
      <c r="A88" s="80" t="e">
        <f>#REF!</f>
        <v>#REF!</v>
      </c>
    </row>
    <row r="89" spans="1:1" ht="15">
      <c r="A89" s="80"/>
    </row>
    <row r="90" spans="1:1" ht="15">
      <c r="A90" s="157" t="s">
        <v>392</v>
      </c>
    </row>
    <row r="91" spans="1:1" ht="15">
      <c r="A91" s="80" t="s">
        <v>393</v>
      </c>
    </row>
    <row r="93" spans="1:1" ht="33" customHeight="1">
      <c r="A93" s="115" t="s">
        <v>394</v>
      </c>
    </row>
    <row r="94" spans="1:1" ht="15.75">
      <c r="A94" s="124"/>
    </row>
    <row r="95" spans="1:1" ht="15">
      <c r="A95" s="80" t="s">
        <v>120</v>
      </c>
    </row>
    <row r="96" spans="1:1" ht="15">
      <c r="A96" s="80" t="s">
        <v>121</v>
      </c>
    </row>
    <row r="97" spans="1:3" ht="15">
      <c r="A97" s="80" t="s">
        <v>122</v>
      </c>
    </row>
    <row r="98" spans="1:3" ht="15">
      <c r="A98" s="157" t="s">
        <v>395</v>
      </c>
    </row>
    <row r="99" spans="1:3" ht="15">
      <c r="A99" s="80" t="s">
        <v>123</v>
      </c>
    </row>
    <row r="100" spans="1:3" ht="15">
      <c r="A100" s="157" t="s">
        <v>370</v>
      </c>
    </row>
    <row r="101" spans="1:3" ht="15.75">
      <c r="A101" s="124"/>
    </row>
    <row r="102" spans="1:3" ht="28.5" customHeight="1">
      <c r="A102" s="115" t="s">
        <v>124</v>
      </c>
    </row>
    <row r="103" spans="1:3" ht="15.75">
      <c r="A103" s="112"/>
    </row>
    <row r="104" spans="1:3" ht="15">
      <c r="A104" s="80" t="s">
        <v>125</v>
      </c>
      <c r="B104" s="80"/>
      <c r="C104" s="80"/>
    </row>
    <row r="105" spans="1:3" ht="15">
      <c r="A105" s="80"/>
      <c r="B105" s="80"/>
      <c r="C105" s="80"/>
    </row>
    <row r="106" spans="1:3" ht="15">
      <c r="A106" s="157" t="s">
        <v>148</v>
      </c>
      <c r="B106" s="80"/>
      <c r="C106" s="80" t="s">
        <v>127</v>
      </c>
    </row>
    <row r="107" spans="1:3" ht="15">
      <c r="A107" s="80" t="s">
        <v>102</v>
      </c>
      <c r="B107" s="80"/>
      <c r="C107" s="80" t="s">
        <v>110</v>
      </c>
    </row>
    <row r="108" spans="1:3" ht="15">
      <c r="A108" s="80" t="s">
        <v>126</v>
      </c>
      <c r="B108" s="80"/>
      <c r="C108" s="80" t="s">
        <v>129</v>
      </c>
    </row>
    <row r="109" spans="1:3" ht="15">
      <c r="A109" s="80" t="s">
        <v>149</v>
      </c>
      <c r="B109" s="80"/>
      <c r="C109" s="157" t="s">
        <v>151</v>
      </c>
    </row>
    <row r="110" spans="1:3" ht="15">
      <c r="A110" s="80" t="s">
        <v>128</v>
      </c>
      <c r="B110" s="80"/>
      <c r="C110" s="157" t="s">
        <v>152</v>
      </c>
    </row>
    <row r="111" spans="1:3" ht="15">
      <c r="A111" s="157" t="s">
        <v>363</v>
      </c>
      <c r="B111" s="80"/>
    </row>
    <row r="113" spans="1:6" ht="15.75">
      <c r="A113" s="291" t="s">
        <v>396</v>
      </c>
      <c r="B113" s="80"/>
      <c r="C113" s="80"/>
      <c r="D113" s="80"/>
      <c r="E113" s="80"/>
      <c r="F113" s="80"/>
    </row>
    <row r="114" spans="1:6" ht="15">
      <c r="A114" s="80"/>
      <c r="B114" s="80"/>
      <c r="C114" s="80"/>
      <c r="D114" s="80"/>
      <c r="E114" s="80"/>
      <c r="F114" s="80"/>
    </row>
    <row r="115" spans="1:6" ht="15">
      <c r="A115" s="80"/>
      <c r="B115" s="80"/>
      <c r="C115" s="80"/>
      <c r="D115" s="80"/>
      <c r="E115" s="80"/>
      <c r="F115" s="80"/>
    </row>
    <row r="116" spans="1:6" ht="15">
      <c r="A116" s="80"/>
      <c r="B116" s="80"/>
      <c r="C116" s="80"/>
      <c r="D116" s="80"/>
      <c r="E116" s="80"/>
      <c r="F116" s="80" t="s">
        <v>130</v>
      </c>
    </row>
    <row r="117" spans="1:6" ht="15">
      <c r="A117" s="80"/>
      <c r="B117" s="80"/>
      <c r="C117" s="80"/>
      <c r="D117" s="80"/>
      <c r="E117" s="80"/>
      <c r="F117" s="80" t="s">
        <v>131</v>
      </c>
    </row>
    <row r="118" spans="1:6" ht="15.75">
      <c r="A118" s="124"/>
    </row>
    <row r="119" spans="1:6" ht="15.75">
      <c r="A119" s="124"/>
    </row>
    <row r="120" spans="1:6" ht="15.75">
      <c r="A120" s="124"/>
    </row>
    <row r="121" spans="1:6" ht="15.75">
      <c r="A121" s="124"/>
    </row>
    <row r="122" spans="1:6" ht="15.75">
      <c r="A122" s="124"/>
    </row>
    <row r="123" spans="1:6" ht="15.75">
      <c r="A123" s="124"/>
    </row>
    <row r="124" spans="1:6" ht="15.75">
      <c r="A124" s="124"/>
    </row>
    <row r="125" spans="1:6" ht="15.75">
      <c r="A125" s="124"/>
    </row>
    <row r="126" spans="1:6" ht="15.75">
      <c r="A126" s="124"/>
    </row>
    <row r="127" spans="1:6" ht="15.75">
      <c r="A127" s="124"/>
    </row>
    <row r="128" spans="1:6" ht="15.75">
      <c r="A128" s="124"/>
    </row>
    <row r="129" spans="1:5" ht="15.75">
      <c r="A129" s="124"/>
    </row>
    <row r="130" spans="1:5" ht="15.75">
      <c r="A130" s="124"/>
    </row>
    <row r="131" spans="1:5" ht="15.75">
      <c r="A131" s="124"/>
    </row>
    <row r="132" spans="1:5" ht="15.75">
      <c r="A132" s="124"/>
    </row>
    <row r="133" spans="1:5" ht="15.75">
      <c r="A133" s="124"/>
    </row>
    <row r="134" spans="1:5" ht="15.75">
      <c r="A134" s="124"/>
    </row>
    <row r="135" spans="1:5" ht="15.75">
      <c r="A135" s="124"/>
    </row>
    <row r="136" spans="1:5" ht="15.75">
      <c r="A136" s="124"/>
    </row>
    <row r="137" spans="1:5" ht="15.75">
      <c r="A137" s="124"/>
    </row>
    <row r="139" spans="1:5">
      <c r="E139"/>
    </row>
    <row r="140" spans="1:5" ht="15.75">
      <c r="E140" s="123"/>
    </row>
  </sheetData>
  <mergeCells count="5">
    <mergeCell ref="B47:I48"/>
    <mergeCell ref="B38:I39"/>
    <mergeCell ref="B41:I42"/>
    <mergeCell ref="B44:I45"/>
    <mergeCell ref="B50:I51"/>
  </mergeCells>
  <phoneticPr fontId="8" type="noConversion"/>
  <pageMargins left="0.25" right="0.22013888888888888" top="0.62986111111111109" bottom="0.98402777777777783" header="0.51180555555555562" footer="0.51180555555555562"/>
  <pageSetup paperSize="9" scale="69" firstPageNumber="0" orientation="portrait" horizontalDpi="300" verticalDpi="300" r:id="rId1"/>
  <headerFooter alignWithMargins="0"/>
  <rowBreaks count="1" manualBreakCount="1">
    <brk id="67"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points et TOP</vt:lpstr>
      <vt:lpstr>Sommaire (2)</vt:lpstr>
      <vt:lpstr>Rapport d_activités (2)</vt:lpstr>
      <vt:lpstr>résultats (2)</vt:lpstr>
      <vt:lpstr>bilan championnat</vt:lpstr>
      <vt:lpstr>Autres résultats</vt:lpstr>
      <vt:lpstr>orientations et comptes</vt:lpstr>
      <vt:lpstr>Comptes</vt:lpstr>
      <vt:lpstr>compte rendu</vt:lpstr>
      <vt:lpstr>résumés</vt:lpstr>
      <vt:lpstr>'Autres résultats'!Zone_d_impression</vt:lpstr>
      <vt:lpstr>'bilan championnat'!Zone_d_impression</vt:lpstr>
      <vt:lpstr>'compte rendu'!Zone_d_impression</vt:lpstr>
      <vt:lpstr>Comptes!Zone_d_impression</vt:lpstr>
      <vt:lpstr>'orientations et comptes'!Zone_d_impression</vt:lpstr>
      <vt:lpstr>'points et TOP'!Zone_d_impression</vt:lpstr>
      <vt:lpstr>'Rapport d_activités (2)'!Zone_d_impression</vt:lpstr>
      <vt:lpstr>'résultats (2)'!Zone_d_impression</vt:lpstr>
      <vt:lpstr>résumés!Zone_d_impression</vt:lpstr>
      <vt:lpstr>'Sommaire (2)'!Zone_d_impression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dc:creator>
  <cp:lastModifiedBy>couture ch</cp:lastModifiedBy>
  <cp:lastPrinted>2015-06-14T18:36:51Z</cp:lastPrinted>
  <dcterms:created xsi:type="dcterms:W3CDTF">2008-04-24T20:30:42Z</dcterms:created>
  <dcterms:modified xsi:type="dcterms:W3CDTF">2015-06-14T18:43:02Z</dcterms:modified>
</cp:coreProperties>
</file>